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4670" windowHeight="9525" activeTab="2"/>
  </bookViews>
  <sheets>
    <sheet name="Соболь " sheetId="1" r:id="rId1"/>
    <sheet name="Олень " sheetId="2" r:id="rId2"/>
    <sheet name="Распределение квот 2017" sheetId="3" r:id="rId3"/>
    <sheet name="Лось  " sheetId="4" r:id="rId4"/>
  </sheets>
  <externalReferences>
    <externalReference r:id="rId7"/>
    <externalReference r:id="rId8"/>
  </externalReferences>
  <definedNames>
    <definedName name="_xlnm.Print_Area" localSheetId="3">'Лось  '!$A$1:$W$148</definedName>
    <definedName name="_xlnm.Print_Area" localSheetId="1">'Олень '!$A$1:$W$148</definedName>
    <definedName name="_xlnm.Print_Area" localSheetId="2">'Распределение квот 2017'!$A$1:$M$162</definedName>
    <definedName name="_xlnm.Print_Area" localSheetId="0">'Соболь '!$A$1:$W$148</definedName>
  </definedNames>
  <calcPr fullCalcOnLoad="1"/>
</workbook>
</file>

<file path=xl/sharedStrings.xml><?xml version="1.0" encoding="utf-8"?>
<sst xmlns="http://schemas.openxmlformats.org/spreadsheetml/2006/main" count="624" uniqueCount="181">
  <si>
    <t>Форма А - 4</t>
  </si>
  <si>
    <t>Вид:</t>
  </si>
  <si>
    <t>шт.</t>
  </si>
  <si>
    <t>Принято к обработке -</t>
  </si>
  <si>
    <t>Отнесено к браку -</t>
  </si>
  <si>
    <t xml:space="preserve">               Пересчетный коэффициент</t>
  </si>
  <si>
    <t>Норматив</t>
  </si>
  <si>
    <t>№</t>
  </si>
  <si>
    <t>Соболь</t>
  </si>
  <si>
    <t>Пользователь</t>
  </si>
  <si>
    <t>ООО "Тахтоямск"</t>
  </si>
  <si>
    <t>ООО "Прибр.рыболовная компания"</t>
  </si>
  <si>
    <t>ЗАО "Сев-Эвен.пром.комп."</t>
  </si>
  <si>
    <t>РОМН "Екчен"</t>
  </si>
  <si>
    <t>ООПТ "Малкачанская тундра" рег. зн.</t>
  </si>
  <si>
    <t>ООПТ "Одян" регионального значения</t>
  </si>
  <si>
    <r>
      <t>ООО "Кулу"</t>
    </r>
    <r>
      <rPr>
        <sz val="10"/>
        <rFont val="Arial"/>
        <family val="0"/>
      </rPr>
      <t xml:space="preserve"> - </t>
    </r>
    <r>
      <rPr>
        <i/>
        <sz val="10"/>
        <rFont val="Arial Cyr"/>
        <family val="0"/>
      </rPr>
      <t>3</t>
    </r>
  </si>
  <si>
    <t>ООПТ "Омолонский" регионального зн.</t>
  </si>
  <si>
    <t>ООПТ "Тайгонос" регионального зн.</t>
  </si>
  <si>
    <t>МООО "ООиР" Сусуманский"</t>
  </si>
  <si>
    <t>ООПТ "Хинике" регионального знач.</t>
  </si>
  <si>
    <t>ООО "Бахапча"</t>
  </si>
  <si>
    <t>МООО "ООиР" "Хасынский"</t>
  </si>
  <si>
    <t>МООО "ООиР" "Ягоднинский"</t>
  </si>
  <si>
    <t>Итого по Магаданской области</t>
  </si>
  <si>
    <t>РОМН "Аситкан"</t>
  </si>
  <si>
    <t>ИП Топалов А.И. Фактория таежная</t>
  </si>
  <si>
    <t>ИП Тимофеенко Бургагылкан</t>
  </si>
  <si>
    <t>ООО ГК "Океан"</t>
  </si>
  <si>
    <t>Общедоступные охот.угодья</t>
  </si>
  <si>
    <t>ООО Тайга участок № 1</t>
  </si>
  <si>
    <t>ИП Федюшин Р.Г.</t>
  </si>
  <si>
    <t>РОКМН и ЭГС Каньон</t>
  </si>
  <si>
    <t>РОКМНС Махаянга</t>
  </si>
  <si>
    <t>ИП Гарифулин</t>
  </si>
  <si>
    <t>ООПТ "Кавинская долина" рег. зн.</t>
  </si>
  <si>
    <t>Лось</t>
  </si>
  <si>
    <t>Число карточек</t>
  </si>
  <si>
    <t>ООО "Усть-Магаданский рыбозавод"</t>
  </si>
  <si>
    <t>ООО "Кривбасс"</t>
  </si>
  <si>
    <t>РОМН "Учак"</t>
  </si>
  <si>
    <t>экз.</t>
  </si>
  <si>
    <t>минимальная численность на участок</t>
  </si>
  <si>
    <r>
      <t xml:space="preserve">РОКМНС Гижига </t>
    </r>
    <r>
      <rPr>
        <sz val="10"/>
        <rFont val="Arial Cyr"/>
        <family val="0"/>
      </rPr>
      <t>участок №1 Ахавеем</t>
    </r>
  </si>
  <si>
    <t>РОМН "Балыгычан"</t>
  </si>
  <si>
    <t>ООО "Север Спец Транс"</t>
  </si>
  <si>
    <t>ООО "ПрофМонтажСтрой"</t>
  </si>
  <si>
    <r>
      <t xml:space="preserve">ОДОУ </t>
    </r>
    <r>
      <rPr>
        <sz val="10"/>
        <rFont val="Arial Cyr"/>
        <family val="0"/>
      </rPr>
      <t>Ясачная</t>
    </r>
  </si>
  <si>
    <r>
      <t xml:space="preserve">ИП Пинчук </t>
    </r>
    <r>
      <rPr>
        <sz val="10"/>
        <rFont val="Arial Cyr"/>
        <family val="0"/>
      </rPr>
      <t>уч.Нелькоба</t>
    </r>
  </si>
  <si>
    <t>ООО "Маглан Сервис"</t>
  </si>
  <si>
    <t>МООО ООиР "Кулу"</t>
  </si>
  <si>
    <t>МООО ООиР "Детрин"</t>
  </si>
  <si>
    <t>ОДОУ Халанчига Студеная</t>
  </si>
  <si>
    <r>
      <t>ООО Колыма-Трэвел</t>
    </r>
    <r>
      <rPr>
        <sz val="10"/>
        <rFont val="Arial"/>
        <family val="0"/>
      </rPr>
      <t xml:space="preserve"> Омолонский</t>
    </r>
  </si>
  <si>
    <t>ООО Колыма Трэвел Кегали</t>
  </si>
  <si>
    <t>ООО "С-Вост.Сервис" Участок Сиглан</t>
  </si>
  <si>
    <t>ООО "С-Вост.Сервис"Участок Средняя</t>
  </si>
  <si>
    <t>ООО "Восточный рубеж"</t>
  </si>
  <si>
    <t>ООО "МиС"</t>
  </si>
  <si>
    <t xml:space="preserve"> ОДОУ уч. Сивуч</t>
  </si>
  <si>
    <t>ИП Гарбуз</t>
  </si>
  <si>
    <t>ОДОУ Момолтыкис,Сеймкан,Яна</t>
  </si>
  <si>
    <t>ООО Экспедиция-Тур о. Завьялова</t>
  </si>
  <si>
    <t>ООО"Экспедиция-Тур" уч."Вилига"</t>
  </si>
  <si>
    <t xml:space="preserve"> ОДОУ Алы-Юрях,Токур-Юрях</t>
  </si>
  <si>
    <t>МУП Фактория Кадар</t>
  </si>
  <si>
    <t>ООО "Рыбная компания" уч.№1</t>
  </si>
  <si>
    <t>ООО "Рыбная компания" уч.№2</t>
  </si>
  <si>
    <t>ООО "Кулу" уч. № 5</t>
  </si>
  <si>
    <t>ООО "Кулу" уч. № 4</t>
  </si>
  <si>
    <t>ИП Наумкина КФХ Ханчалан</t>
  </si>
  <si>
    <t>ООО "Кедон"</t>
  </si>
  <si>
    <t>ОДОУ</t>
  </si>
  <si>
    <t>ООО "Кей Эм Машинери</t>
  </si>
  <si>
    <t>ИП Гончаренко</t>
  </si>
  <si>
    <t>Дикий северный олень</t>
  </si>
  <si>
    <t>ООО "Кулу" уч. №1 Наслачан</t>
  </si>
  <si>
    <t>ООО "Кулу" уч. №2 Пьягино</t>
  </si>
  <si>
    <t>ООО "Кулу" ук. №6</t>
  </si>
  <si>
    <t>МООО "ООиР" уч. "Прибрежный"</t>
  </si>
  <si>
    <t>МООО "ООиР" уч. "Ольско-Танонский"</t>
  </si>
  <si>
    <t>МООО "ООиР" уч. "Верхне-Янский"</t>
  </si>
  <si>
    <t>МООО "ООиР" уч. "Уптарский"</t>
  </si>
  <si>
    <t>МООО "Хурэн"  уч. №1</t>
  </si>
  <si>
    <t>МООО "Хурэн" уч. №2</t>
  </si>
  <si>
    <t>МООО "Хурэн" ук. №3</t>
  </si>
  <si>
    <t xml:space="preserve">         Ольский городской округ</t>
  </si>
  <si>
    <t>МО г. Магадан</t>
  </si>
  <si>
    <t>Омсукчанский городской округ</t>
  </si>
  <si>
    <t>Среднеканский городской округ</t>
  </si>
  <si>
    <t xml:space="preserve">     Северо-Эвенский городской округ</t>
  </si>
  <si>
    <t xml:space="preserve">           Хасынский городской округ</t>
  </si>
  <si>
    <t xml:space="preserve">           Ягоднинский городской округ</t>
  </si>
  <si>
    <t>Площадь угодий пригодных для обитания (тыс. га)</t>
  </si>
  <si>
    <t>ООО Колыма-Трэвел  Уч. № 2 Шкипера</t>
  </si>
  <si>
    <t>ООО Колыма-Трэвел уч-к "Нараули"</t>
  </si>
  <si>
    <t>ООО Тайга Участок № 2</t>
  </si>
  <si>
    <t>Разрешено к добыче, (особей)</t>
  </si>
  <si>
    <t>Заявленная квота, (особей)</t>
  </si>
  <si>
    <t>Установленная квота, (особей)</t>
  </si>
  <si>
    <t>МООО "ООиР" участок "Ороекск-Глух. № 1"</t>
  </si>
  <si>
    <t>МООО "ООиР"   участок "Ороекск-Глух. № 2"</t>
  </si>
  <si>
    <t>МООО "ООиР" участок "Сеймчанский"</t>
  </si>
  <si>
    <t>МООО "ООиР"  участок "Омолонский № 1"</t>
  </si>
  <si>
    <t>РОКМНС Гижига  участок №2 Хивач</t>
  </si>
  <si>
    <t xml:space="preserve"> Общая площадь угодий (тыс. га)</t>
  </si>
  <si>
    <t>ОДОУ Ягоднинского г.о.</t>
  </si>
  <si>
    <t>Протяженность маршрутов, по полю (км)</t>
  </si>
  <si>
    <t>Протяженность маршрутов, по лесу (км)</t>
  </si>
  <si>
    <t>Число пересечений следов по лесу</t>
  </si>
  <si>
    <t>Число пересечений следов, по полю</t>
  </si>
  <si>
    <t>Число пересечений следов на 10 км. по лесу</t>
  </si>
  <si>
    <t>Число пересечений следов на 10 км. по полю</t>
  </si>
  <si>
    <t xml:space="preserve">Плотность особей  на 1000га. в поле </t>
  </si>
  <si>
    <t xml:space="preserve">Плотность особей  на 1000га. в лесу </t>
  </si>
  <si>
    <t>Протяженность маршрутов, всего (км)</t>
  </si>
  <si>
    <t>Численность  в лесу,(особей)</t>
  </si>
  <si>
    <t>Численность в поле,(особей)</t>
  </si>
  <si>
    <t>Численность всего (особей)</t>
  </si>
  <si>
    <t>Площадь леса (тыс. га)</t>
  </si>
  <si>
    <t>Площадь поля (тыс. га)</t>
  </si>
  <si>
    <t>К добыче  18%</t>
  </si>
  <si>
    <t>Средняя плотность, особей на 1000га. пригодной площади.</t>
  </si>
  <si>
    <t>Сусуманский городской округ</t>
  </si>
  <si>
    <t>ООО "Дрофа" уч. Дегдекан</t>
  </si>
  <si>
    <t>ОДОУ уч. "р.Сиглан-р.Буочах"</t>
  </si>
  <si>
    <t>ОДОУ уч. р.Ланковая - р. Дулаан"</t>
  </si>
  <si>
    <t>ОДОУ р. Яма - р.Алут</t>
  </si>
  <si>
    <t xml:space="preserve">    Тенькинский городской округ</t>
  </si>
  <si>
    <t>ОДОУ уч. "верх.р.Арбутла,р.Гатчан,р.Марьякан"</t>
  </si>
  <si>
    <t>ОДОУ уч. "Хольчан"</t>
  </si>
  <si>
    <t>ООО "Спец-Сервис"</t>
  </si>
  <si>
    <t>Охранная зона г. Магадана</t>
  </si>
  <si>
    <t>ООО "Омсукчан-Транстехснаб" уч. "р.Эврика"</t>
  </si>
  <si>
    <t>ООО "Омсукчан-Транстехснаб" уч. "р.Тап"</t>
  </si>
  <si>
    <t>ОДОУ уч."р.Сугой-р.Мутная"</t>
  </si>
  <si>
    <t>ОДОУуч. "р.Белая ночь,р.Колыма,р. Бургали"</t>
  </si>
  <si>
    <t>ОДОУ уч. "р. Коркодон-р.Монхайды</t>
  </si>
  <si>
    <t xml:space="preserve">ОДОУ уч".р.Б. Столбовая-р.Ярходон </t>
  </si>
  <si>
    <t>ООО "Дрофа" уч. Вавачун</t>
  </si>
  <si>
    <t>ООО "Практик К" уч. "р. Таватум"</t>
  </si>
  <si>
    <t>ЗАО "Колымская россыпь"</t>
  </si>
  <si>
    <t>ООО "Магаданская Грузовая Транспортная компания</t>
  </si>
  <si>
    <t>ООО "Луч"</t>
  </si>
  <si>
    <t>ОДОУ "р. Хиники"</t>
  </si>
  <si>
    <t>К добыче  3 - 5%</t>
  </si>
  <si>
    <t>К добыче  35%</t>
  </si>
  <si>
    <t xml:space="preserve">Рекомендуемое распределение квот добычи охотничьих ресурсов между  </t>
  </si>
  <si>
    <t>пользователями охотничьих угодий Магаданской области в сезоне охоты 2017-2018 г.г.</t>
  </si>
  <si>
    <t>Медведь бурый</t>
  </si>
  <si>
    <t>Снежный баран</t>
  </si>
  <si>
    <t>*</t>
  </si>
  <si>
    <t>**</t>
  </si>
  <si>
    <t>ИП Пинчук уч.Нелькоба</t>
  </si>
  <si>
    <r>
      <t xml:space="preserve">* - </t>
    </r>
    <r>
      <rPr>
        <sz val="10"/>
        <rFont val="Times New Roman"/>
        <family val="1"/>
      </rPr>
      <t>квоты, установленные Департаментом по охране и надзору за использованием объектов животного мира и среды их обитания Магаданской области</t>
    </r>
  </si>
  <si>
    <r>
      <t xml:space="preserve">** - </t>
    </r>
    <r>
      <rPr>
        <sz val="10"/>
        <rFont val="Times New Roman"/>
        <family val="1"/>
      </rPr>
      <t>рекомендуемое распределение квот по результатам ГЭЭ</t>
    </r>
  </si>
  <si>
    <t xml:space="preserve">                                                                                                                                                               </t>
  </si>
  <si>
    <t>СОГЛАСОВАНО:</t>
  </si>
  <si>
    <t xml:space="preserve">за использованием объектов животного мира </t>
  </si>
  <si>
    <t>и среды их обитания Магаданской области                                                                                           А.И.Сырченко</t>
  </si>
  <si>
    <t xml:space="preserve">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</si>
  <si>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м.п.</t>
  </si>
  <si>
    <r>
      <t xml:space="preserve">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м.п. </t>
    </r>
  </si>
  <si>
    <t xml:space="preserve">  Министр природных ресурсов</t>
  </si>
  <si>
    <t xml:space="preserve"> и экологии Магаданской области                                                                                                                   В.И.Митькин</t>
  </si>
  <si>
    <r>
      <t xml:space="preserve">ООО "Кулу" - </t>
    </r>
    <r>
      <rPr>
        <i/>
        <sz val="10"/>
        <rFont val="Times New Roman"/>
        <family val="1"/>
      </rPr>
      <t>3</t>
    </r>
  </si>
  <si>
    <t>ООО Колыма-Трэвел Омолонский</t>
  </si>
  <si>
    <t>РОКМНС Гижига участок №1 Ахавеем</t>
  </si>
  <si>
    <t>ОДОУ Ясачная</t>
  </si>
  <si>
    <t>ОДОУ  "верх.р.Арбутла,р.Гатчан,р.Марьякан"</t>
  </si>
  <si>
    <t xml:space="preserve">     </t>
  </si>
  <si>
    <t>Северо-Эвенский городской округ</t>
  </si>
  <si>
    <t>ООО Магаданская Грузовая Транспортная ком.</t>
  </si>
  <si>
    <t xml:space="preserve">    </t>
  </si>
  <si>
    <t>Тенькинский городской округ</t>
  </si>
  <si>
    <t xml:space="preserve">          </t>
  </si>
  <si>
    <t xml:space="preserve"> Хасынский городской округ</t>
  </si>
  <si>
    <t xml:space="preserve">           </t>
  </si>
  <si>
    <t>Ягоднинский городской округ</t>
  </si>
  <si>
    <t>Предложение по лимитам изъятия особо ценных в хозяйственном отношении видов охотничьих ресурсов в сезоне охоты 2017-2018гг. на территории Магаданской области и материалы, обосновывающиелимиты и квоты добычи охотничьих ресурсов на период с 01.08.2017г. до  01.08.2018г.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</t>
  </si>
  <si>
    <t xml:space="preserve">Руководитель департамента по охране и надзору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</si>
</sst>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000000000"/>
    <numFmt numFmtId="192" formatCode="0.0000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" fontId="12" fillId="0" borderId="10" xfId="0" applyNumberFormat="1" applyFont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0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24" borderId="10" xfId="0" applyFont="1" applyFill="1" applyBorder="1" applyAlignment="1">
      <alignment horizontal="left"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2" fontId="15" fillId="2" borderId="14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0" fillId="24" borderId="0" xfId="0" applyFill="1" applyAlignment="1">
      <alignment/>
    </xf>
    <xf numFmtId="2" fontId="12" fillId="8" borderId="14" xfId="0" applyNumberFormat="1" applyFont="1" applyFill="1" applyBorder="1" applyAlignment="1">
      <alignment horizontal="center" vertical="center"/>
    </xf>
    <xf numFmtId="2" fontId="15" fillId="8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/>
    </xf>
    <xf numFmtId="0" fontId="14" fillId="2" borderId="10" xfId="0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188" fontId="12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1" fontId="19" fillId="2" borderId="10" xfId="0" applyNumberFormat="1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11" fillId="15" borderId="10" xfId="0" applyFont="1" applyFill="1" applyBorder="1" applyAlignment="1">
      <alignment/>
    </xf>
    <xf numFmtId="0" fontId="6" fillId="15" borderId="11" xfId="0" applyFont="1" applyFill="1" applyBorder="1" applyAlignment="1">
      <alignment horizontal="left"/>
    </xf>
    <xf numFmtId="0" fontId="6" fillId="15" borderId="13" xfId="0" applyFont="1" applyFill="1" applyBorder="1" applyAlignment="1">
      <alignment horizontal="left"/>
    </xf>
    <xf numFmtId="188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189" fontId="12" fillId="2" borderId="10" xfId="0" applyNumberFormat="1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left"/>
    </xf>
    <xf numFmtId="0" fontId="6" fillId="24" borderId="11" xfId="0" applyFont="1" applyFill="1" applyBorder="1" applyAlignment="1">
      <alignment/>
    </xf>
    <xf numFmtId="0" fontId="10" fillId="24" borderId="12" xfId="0" applyFont="1" applyFill="1" applyBorder="1" applyAlignment="1">
      <alignment horizontal="left"/>
    </xf>
    <xf numFmtId="190" fontId="0" fillId="0" borderId="10" xfId="0" applyNumberFormat="1" applyFont="1" applyBorder="1" applyAlignment="1">
      <alignment horizontal="center" vertical="center"/>
    </xf>
    <xf numFmtId="190" fontId="12" fillId="2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190" fontId="0" fillId="24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left"/>
    </xf>
    <xf numFmtId="2" fontId="0" fillId="24" borderId="10" xfId="0" applyNumberFormat="1" applyFont="1" applyFill="1" applyBorder="1" applyAlignment="1">
      <alignment horizontal="center" vertical="center"/>
    </xf>
    <xf numFmtId="2" fontId="19" fillId="2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8" fillId="24" borderId="12" xfId="0" applyFont="1" applyFill="1" applyBorder="1" applyAlignment="1">
      <alignment/>
    </xf>
    <xf numFmtId="188" fontId="0" fillId="24" borderId="10" xfId="0" applyNumberFormat="1" applyFont="1" applyFill="1" applyBorder="1" applyAlignment="1">
      <alignment horizontal="center" vertical="center"/>
    </xf>
    <xf numFmtId="190" fontId="0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89" fontId="2" fillId="0" borderId="10" xfId="0" applyNumberFormat="1" applyFont="1" applyBorder="1" applyAlignment="1">
      <alignment horizontal="center"/>
    </xf>
    <xf numFmtId="189" fontId="2" fillId="0" borderId="16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6" fillId="24" borderId="12" xfId="0" applyFont="1" applyFill="1" applyBorder="1" applyAlignment="1">
      <alignment/>
    </xf>
    <xf numFmtId="0" fontId="6" fillId="24" borderId="12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0" fillId="25" borderId="11" xfId="0" applyFont="1" applyFill="1" applyBorder="1" applyAlignment="1">
      <alignment horizontal="left"/>
    </xf>
    <xf numFmtId="0" fontId="10" fillId="25" borderId="13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center" vertical="center"/>
    </xf>
    <xf numFmtId="190" fontId="0" fillId="25" borderId="0" xfId="0" applyNumberFormat="1" applyFill="1" applyAlignment="1">
      <alignment horizontal="center"/>
    </xf>
    <xf numFmtId="189" fontId="2" fillId="25" borderId="1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vertical="center"/>
    </xf>
    <xf numFmtId="188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190" fontId="0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6" fillId="25" borderId="11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2"/>
    </xf>
    <xf numFmtId="0" fontId="37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1" fontId="12" fillId="8" borderId="10" xfId="0" applyNumberFormat="1" applyFont="1" applyFill="1" applyBorder="1" applyAlignment="1">
      <alignment horizontal="center" vertical="center"/>
    </xf>
    <xf numFmtId="1" fontId="19" fillId="8" borderId="10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38" fillId="8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/>
    </xf>
    <xf numFmtId="1" fontId="1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1" fontId="0" fillId="25" borderId="10" xfId="0" applyNumberFormat="1" applyFill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vertical="center" wrapText="1"/>
    </xf>
    <xf numFmtId="1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10" fillId="24" borderId="11" xfId="0" applyFont="1" applyFill="1" applyBorder="1" applyAlignment="1">
      <alignment horizontal="left"/>
    </xf>
    <xf numFmtId="0" fontId="10" fillId="24" borderId="13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7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6" fillId="25" borderId="11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72;&#1103;%20&#1060;&#1086;&#1088;&#1084;&#1072;%20&#1040;%20&#1085;&#1086;&#1088;&#1084;&#1072;&#1090;&#1080;&#1074;&#1099;%20&#1084;&#1072;&#1088;&#1096;&#1088;&#1091;&#1090;&#1086;&#1074;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50;&#1086;&#1083;&#1103;\&#1056;&#1072;&#1073;&#1086;&#1090;&#1072;\&#1047;&#1052;&#1059;%202009\&#1057;&#1074;&#1086;&#1076;&#1085;&#1072;&#1103;%20&#1060;&#1086;&#1088;&#1084;&#1072;%20&#1040;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-5"/>
      <sheetName val="А-4"/>
      <sheetName val="Норматив и фактически 2017"/>
    </sheetNames>
    <sheetDataSet>
      <sheetData sheetId="1">
        <row r="10">
          <cell r="F10">
            <v>2</v>
          </cell>
          <cell r="G10">
            <v>11.5</v>
          </cell>
          <cell r="H10">
            <v>8.5</v>
          </cell>
          <cell r="Q10">
            <v>0</v>
          </cell>
          <cell r="R10">
            <v>0</v>
          </cell>
          <cell r="T10">
            <v>3</v>
          </cell>
          <cell r="AC10">
            <v>0</v>
          </cell>
          <cell r="AD10">
            <v>0</v>
          </cell>
          <cell r="AF10">
            <v>0</v>
          </cell>
        </row>
        <row r="11">
          <cell r="F11">
            <v>3</v>
          </cell>
          <cell r="G11">
            <v>19.3</v>
          </cell>
          <cell r="H11">
            <v>12.6</v>
          </cell>
          <cell r="Q11">
            <v>0</v>
          </cell>
          <cell r="R11">
            <v>0</v>
          </cell>
          <cell r="T11">
            <v>4</v>
          </cell>
          <cell r="AC11">
            <v>0</v>
          </cell>
          <cell r="AD11">
            <v>0</v>
          </cell>
          <cell r="AF11">
            <v>1</v>
          </cell>
        </row>
        <row r="13">
          <cell r="F13">
            <v>3</v>
          </cell>
          <cell r="G13">
            <v>21.6</v>
          </cell>
          <cell r="H13">
            <v>8.4</v>
          </cell>
          <cell r="Q13">
            <v>11</v>
          </cell>
          <cell r="R13">
            <v>7</v>
          </cell>
          <cell r="T13">
            <v>4</v>
          </cell>
          <cell r="AC13">
            <v>0</v>
          </cell>
          <cell r="AD13">
            <v>0</v>
          </cell>
          <cell r="AF13">
            <v>1</v>
          </cell>
        </row>
        <row r="14">
          <cell r="F14">
            <v>1</v>
          </cell>
          <cell r="G14">
            <v>5.9</v>
          </cell>
          <cell r="H14">
            <v>4.1</v>
          </cell>
          <cell r="Q14">
            <v>2</v>
          </cell>
          <cell r="R14">
            <v>0</v>
          </cell>
          <cell r="T14">
            <v>2</v>
          </cell>
          <cell r="AC14">
            <v>0</v>
          </cell>
          <cell r="AD14">
            <v>0</v>
          </cell>
          <cell r="AF14">
            <v>0</v>
          </cell>
        </row>
        <row r="15">
          <cell r="F15">
            <v>2</v>
          </cell>
          <cell r="G15">
            <v>17.1</v>
          </cell>
          <cell r="H15">
            <v>2.9000000000000004</v>
          </cell>
          <cell r="Q15">
            <v>12</v>
          </cell>
          <cell r="R15">
            <v>26</v>
          </cell>
          <cell r="T15">
            <v>3</v>
          </cell>
          <cell r="AC15">
            <v>0</v>
          </cell>
          <cell r="AD15">
            <v>0</v>
          </cell>
          <cell r="AF15">
            <v>0</v>
          </cell>
        </row>
        <row r="17">
          <cell r="F17">
            <v>2</v>
          </cell>
          <cell r="G17">
            <v>15</v>
          </cell>
          <cell r="H17">
            <v>2.6</v>
          </cell>
          <cell r="Q17">
            <v>4</v>
          </cell>
          <cell r="R17">
            <v>13</v>
          </cell>
          <cell r="T17">
            <v>10</v>
          </cell>
          <cell r="AC17">
            <v>2</v>
          </cell>
          <cell r="AD17">
            <v>8</v>
          </cell>
          <cell r="AF17">
            <v>3</v>
          </cell>
        </row>
        <row r="18">
          <cell r="F18">
            <v>3</v>
          </cell>
          <cell r="G18">
            <v>18.1</v>
          </cell>
          <cell r="H18">
            <v>13</v>
          </cell>
          <cell r="Q18">
            <v>8</v>
          </cell>
          <cell r="R18">
            <v>17</v>
          </cell>
          <cell r="T18">
            <v>14</v>
          </cell>
          <cell r="AC18">
            <v>2</v>
          </cell>
          <cell r="AD18">
            <v>11</v>
          </cell>
          <cell r="AF18">
            <v>5</v>
          </cell>
        </row>
        <row r="19">
          <cell r="F19">
            <v>2</v>
          </cell>
          <cell r="G19">
            <v>6.1</v>
          </cell>
          <cell r="H19">
            <v>10.8</v>
          </cell>
          <cell r="Q19">
            <v>4</v>
          </cell>
          <cell r="R19">
            <v>7</v>
          </cell>
          <cell r="T19">
            <v>7</v>
          </cell>
          <cell r="AC19">
            <v>1</v>
          </cell>
          <cell r="AD19">
            <v>8</v>
          </cell>
          <cell r="AF19">
            <v>4</v>
          </cell>
        </row>
        <row r="21">
          <cell r="F21">
            <v>3</v>
          </cell>
          <cell r="G21">
            <v>23.200000000000003</v>
          </cell>
          <cell r="H21">
            <v>11.9</v>
          </cell>
          <cell r="Q21">
            <v>0</v>
          </cell>
          <cell r="R21">
            <v>5</v>
          </cell>
          <cell r="T21">
            <v>9</v>
          </cell>
          <cell r="AC21">
            <v>0</v>
          </cell>
          <cell r="AD21">
            <v>12</v>
          </cell>
          <cell r="AF21">
            <v>3</v>
          </cell>
        </row>
        <row r="22">
          <cell r="F22">
            <v>0</v>
          </cell>
          <cell r="G22">
            <v>0</v>
          </cell>
          <cell r="H22">
            <v>0</v>
          </cell>
          <cell r="Q22">
            <v>0</v>
          </cell>
          <cell r="R22">
            <v>0</v>
          </cell>
          <cell r="T22">
            <v>0</v>
          </cell>
          <cell r="AC22">
            <v>0</v>
          </cell>
          <cell r="AD22">
            <v>0</v>
          </cell>
          <cell r="AF22">
            <v>0</v>
          </cell>
        </row>
        <row r="23">
          <cell r="F23">
            <v>1</v>
          </cell>
          <cell r="G23">
            <v>11.34</v>
          </cell>
          <cell r="H23">
            <v>0</v>
          </cell>
          <cell r="Q23">
            <v>2</v>
          </cell>
          <cell r="R23">
            <v>0</v>
          </cell>
          <cell r="T23">
            <v>4</v>
          </cell>
          <cell r="AC23">
            <v>0</v>
          </cell>
          <cell r="AD23">
            <v>0</v>
          </cell>
          <cell r="AF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Q24">
            <v>0</v>
          </cell>
          <cell r="R24">
            <v>0</v>
          </cell>
          <cell r="T24">
            <v>0</v>
          </cell>
          <cell r="AC24">
            <v>0</v>
          </cell>
          <cell r="AD24">
            <v>0</v>
          </cell>
          <cell r="AF24">
            <v>0</v>
          </cell>
        </row>
        <row r="25">
          <cell r="F25">
            <v>5</v>
          </cell>
          <cell r="G25">
            <v>52.85</v>
          </cell>
          <cell r="H25">
            <v>1.6</v>
          </cell>
          <cell r="Q25">
            <v>14</v>
          </cell>
          <cell r="R25">
            <v>15</v>
          </cell>
          <cell r="T25">
            <v>17</v>
          </cell>
          <cell r="AC25">
            <v>0</v>
          </cell>
          <cell r="AD25">
            <v>0</v>
          </cell>
          <cell r="AF25">
            <v>1</v>
          </cell>
        </row>
        <row r="26">
          <cell r="F26">
            <v>3</v>
          </cell>
          <cell r="G26">
            <v>26.199999999999996</v>
          </cell>
          <cell r="H26">
            <v>6.2</v>
          </cell>
          <cell r="Q26">
            <v>10</v>
          </cell>
          <cell r="R26">
            <v>0</v>
          </cell>
          <cell r="T26">
            <v>10</v>
          </cell>
          <cell r="AC26">
            <v>0</v>
          </cell>
          <cell r="AD26">
            <v>0</v>
          </cell>
          <cell r="AF26">
            <v>2</v>
          </cell>
        </row>
        <row r="27">
          <cell r="F27">
            <v>3</v>
          </cell>
          <cell r="G27">
            <v>18.830000000000002</v>
          </cell>
          <cell r="H27">
            <v>17.380000000000003</v>
          </cell>
          <cell r="Q27">
            <v>9</v>
          </cell>
          <cell r="R27">
            <v>19</v>
          </cell>
          <cell r="T27">
            <v>5</v>
          </cell>
          <cell r="AC27">
            <v>0</v>
          </cell>
          <cell r="AD27">
            <v>0</v>
          </cell>
          <cell r="AF27">
            <v>13</v>
          </cell>
        </row>
        <row r="28">
          <cell r="F28">
            <v>0</v>
          </cell>
          <cell r="G28">
            <v>0</v>
          </cell>
          <cell r="H28">
            <v>0</v>
          </cell>
          <cell r="Q28">
            <v>0</v>
          </cell>
          <cell r="R28">
            <v>0</v>
          </cell>
          <cell r="T28">
            <v>0</v>
          </cell>
          <cell r="AC28">
            <v>0</v>
          </cell>
          <cell r="AD28">
            <v>0</v>
          </cell>
          <cell r="AF28">
            <v>0</v>
          </cell>
        </row>
        <row r="29">
          <cell r="F29">
            <v>2</v>
          </cell>
          <cell r="G29">
            <v>7.79</v>
          </cell>
          <cell r="H29">
            <v>13.3</v>
          </cell>
          <cell r="Q29">
            <v>0</v>
          </cell>
          <cell r="R29">
            <v>0</v>
          </cell>
          <cell r="T29">
            <v>7</v>
          </cell>
          <cell r="AC29">
            <v>0</v>
          </cell>
          <cell r="AD29">
            <v>0</v>
          </cell>
          <cell r="AF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Q30">
            <v>0</v>
          </cell>
          <cell r="R30">
            <v>0</v>
          </cell>
          <cell r="T30">
            <v>0</v>
          </cell>
          <cell r="AC30">
            <v>0</v>
          </cell>
          <cell r="AD30">
            <v>0</v>
          </cell>
          <cell r="AF30">
            <v>0</v>
          </cell>
        </row>
        <row r="31">
          <cell r="F31">
            <v>4</v>
          </cell>
          <cell r="G31">
            <v>24.3</v>
          </cell>
          <cell r="H31">
            <v>20.599999999999998</v>
          </cell>
          <cell r="Q31">
            <v>0</v>
          </cell>
          <cell r="R31">
            <v>0</v>
          </cell>
          <cell r="T31">
            <v>12</v>
          </cell>
          <cell r="AC31">
            <v>8</v>
          </cell>
          <cell r="AD31">
            <v>0</v>
          </cell>
          <cell r="AF31">
            <v>6</v>
          </cell>
        </row>
        <row r="32">
          <cell r="F32">
            <v>3</v>
          </cell>
          <cell r="G32">
            <v>34</v>
          </cell>
          <cell r="H32">
            <v>0</v>
          </cell>
          <cell r="Q32">
            <v>2</v>
          </cell>
          <cell r="R32">
            <v>0</v>
          </cell>
          <cell r="T32">
            <v>8</v>
          </cell>
          <cell r="AC32">
            <v>0</v>
          </cell>
          <cell r="AD32">
            <v>0</v>
          </cell>
          <cell r="AF32">
            <v>0</v>
          </cell>
        </row>
        <row r="33">
          <cell r="F33">
            <v>2</v>
          </cell>
          <cell r="G33">
            <v>20.9</v>
          </cell>
          <cell r="H33">
            <v>0</v>
          </cell>
          <cell r="Q33">
            <v>3</v>
          </cell>
          <cell r="R33">
            <v>12</v>
          </cell>
          <cell r="T33">
            <v>8</v>
          </cell>
          <cell r="AC33">
            <v>0</v>
          </cell>
          <cell r="AD33">
            <v>0</v>
          </cell>
          <cell r="AF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Q34">
            <v>0</v>
          </cell>
          <cell r="R34">
            <v>0</v>
          </cell>
          <cell r="T34">
            <v>0</v>
          </cell>
          <cell r="AC34">
            <v>0</v>
          </cell>
          <cell r="AD34">
            <v>0</v>
          </cell>
          <cell r="AF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Q35">
            <v>0</v>
          </cell>
          <cell r="R35">
            <v>0</v>
          </cell>
          <cell r="T35">
            <v>0</v>
          </cell>
          <cell r="AC35">
            <v>0</v>
          </cell>
          <cell r="AD35">
            <v>0</v>
          </cell>
          <cell r="AF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Q36">
            <v>0</v>
          </cell>
          <cell r="R36">
            <v>0</v>
          </cell>
          <cell r="T36">
            <v>0</v>
          </cell>
          <cell r="AC36">
            <v>0</v>
          </cell>
          <cell r="AD36">
            <v>0</v>
          </cell>
          <cell r="AF36">
            <v>0</v>
          </cell>
        </row>
        <row r="37">
          <cell r="F37">
            <v>1</v>
          </cell>
          <cell r="G37">
            <v>8</v>
          </cell>
          <cell r="H37">
            <v>6</v>
          </cell>
          <cell r="Q37">
            <v>0</v>
          </cell>
          <cell r="R37">
            <v>6</v>
          </cell>
          <cell r="T37">
            <v>2</v>
          </cell>
          <cell r="AC37">
            <v>1</v>
          </cell>
          <cell r="AD37">
            <v>0</v>
          </cell>
          <cell r="AF37">
            <v>0</v>
          </cell>
        </row>
        <row r="38">
          <cell r="F38">
            <v>4</v>
          </cell>
          <cell r="G38">
            <v>29.3</v>
          </cell>
          <cell r="H38">
            <v>10</v>
          </cell>
          <cell r="Q38">
            <v>7</v>
          </cell>
          <cell r="R38">
            <v>7</v>
          </cell>
          <cell r="T38">
            <v>9</v>
          </cell>
          <cell r="AC38">
            <v>0</v>
          </cell>
          <cell r="AD38">
            <v>0</v>
          </cell>
          <cell r="AF38">
            <v>3</v>
          </cell>
        </row>
        <row r="39">
          <cell r="F39">
            <v>0</v>
          </cell>
          <cell r="G39">
            <v>0</v>
          </cell>
          <cell r="H39">
            <v>0</v>
          </cell>
          <cell r="Q39">
            <v>0</v>
          </cell>
          <cell r="R39">
            <v>0</v>
          </cell>
          <cell r="T39">
            <v>0</v>
          </cell>
          <cell r="AC39">
            <v>0</v>
          </cell>
          <cell r="AD39">
            <v>0</v>
          </cell>
          <cell r="AF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Q40">
            <v>0</v>
          </cell>
          <cell r="R40">
            <v>0</v>
          </cell>
          <cell r="T40">
            <v>0</v>
          </cell>
          <cell r="AC40">
            <v>0</v>
          </cell>
          <cell r="AD40">
            <v>0</v>
          </cell>
          <cell r="AF40">
            <v>0</v>
          </cell>
        </row>
        <row r="41">
          <cell r="F41">
            <v>5</v>
          </cell>
          <cell r="G41">
            <v>31.58</v>
          </cell>
          <cell r="H41">
            <v>0</v>
          </cell>
          <cell r="Q41">
            <v>10</v>
          </cell>
          <cell r="R41">
            <v>20</v>
          </cell>
          <cell r="T41">
            <v>18</v>
          </cell>
          <cell r="AC41">
            <v>0</v>
          </cell>
          <cell r="AD41">
            <v>0</v>
          </cell>
          <cell r="AF41">
            <v>0</v>
          </cell>
        </row>
        <row r="42">
          <cell r="F42">
            <v>3</v>
          </cell>
          <cell r="G42">
            <v>26.7</v>
          </cell>
          <cell r="H42">
            <v>3.6</v>
          </cell>
          <cell r="Q42">
            <v>9</v>
          </cell>
          <cell r="R42">
            <v>18</v>
          </cell>
          <cell r="T42">
            <v>11</v>
          </cell>
          <cell r="AC42">
            <v>0</v>
          </cell>
          <cell r="AD42">
            <v>0</v>
          </cell>
          <cell r="AF42">
            <v>2</v>
          </cell>
        </row>
        <row r="43">
          <cell r="F43">
            <v>4</v>
          </cell>
          <cell r="G43">
            <v>32.5</v>
          </cell>
          <cell r="H43">
            <v>8.620000000000001</v>
          </cell>
          <cell r="Q43">
            <v>10</v>
          </cell>
          <cell r="R43">
            <v>0</v>
          </cell>
          <cell r="T43">
            <v>5</v>
          </cell>
          <cell r="AC43">
            <v>1</v>
          </cell>
          <cell r="AD43">
            <v>0</v>
          </cell>
          <cell r="AF43">
            <v>5</v>
          </cell>
        </row>
        <row r="44">
          <cell r="F44">
            <v>3</v>
          </cell>
          <cell r="G44">
            <v>19.599999999999998</v>
          </cell>
          <cell r="H44">
            <v>13.899999999999999</v>
          </cell>
          <cell r="Q44">
            <v>0</v>
          </cell>
          <cell r="R44">
            <v>0</v>
          </cell>
          <cell r="T44">
            <v>11</v>
          </cell>
          <cell r="AC44">
            <v>3</v>
          </cell>
          <cell r="AD44">
            <v>7</v>
          </cell>
          <cell r="AF44">
            <v>3</v>
          </cell>
        </row>
        <row r="45">
          <cell r="F45">
            <v>3</v>
          </cell>
          <cell r="G45">
            <v>16.9</v>
          </cell>
          <cell r="H45">
            <v>14.299999999999999</v>
          </cell>
          <cell r="Q45">
            <v>1</v>
          </cell>
          <cell r="R45">
            <v>0</v>
          </cell>
          <cell r="T45">
            <v>8</v>
          </cell>
          <cell r="AC45">
            <v>0</v>
          </cell>
          <cell r="AD45">
            <v>1</v>
          </cell>
          <cell r="AF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Q46">
            <v>0</v>
          </cell>
          <cell r="R46">
            <v>0</v>
          </cell>
          <cell r="T46">
            <v>0</v>
          </cell>
          <cell r="AC46">
            <v>0</v>
          </cell>
          <cell r="AD46">
            <v>0</v>
          </cell>
          <cell r="AF46">
            <v>0</v>
          </cell>
        </row>
        <row r="47">
          <cell r="F47">
            <v>3</v>
          </cell>
          <cell r="G47">
            <v>23.6</v>
          </cell>
          <cell r="Q47">
            <v>0</v>
          </cell>
          <cell r="R47">
            <v>0</v>
          </cell>
          <cell r="T47">
            <v>4</v>
          </cell>
          <cell r="AC47">
            <v>0</v>
          </cell>
          <cell r="AD47">
            <v>0</v>
          </cell>
          <cell r="AF47">
            <v>0</v>
          </cell>
        </row>
        <row r="48">
          <cell r="F48">
            <v>3</v>
          </cell>
          <cell r="G48">
            <v>10.2</v>
          </cell>
          <cell r="H48">
            <v>25.5</v>
          </cell>
          <cell r="Q48">
            <v>2</v>
          </cell>
          <cell r="R48">
            <v>4</v>
          </cell>
          <cell r="T48">
            <v>6</v>
          </cell>
          <cell r="AC48">
            <v>8</v>
          </cell>
          <cell r="AD48">
            <v>0</v>
          </cell>
          <cell r="AF48">
            <v>17</v>
          </cell>
        </row>
        <row r="49">
          <cell r="F49">
            <v>3</v>
          </cell>
          <cell r="G49">
            <v>0</v>
          </cell>
          <cell r="H49">
            <v>33.2</v>
          </cell>
          <cell r="Q49">
            <v>0</v>
          </cell>
          <cell r="R49">
            <v>0</v>
          </cell>
          <cell r="T49">
            <v>0</v>
          </cell>
          <cell r="AC49">
            <v>0</v>
          </cell>
          <cell r="AD49">
            <v>0</v>
          </cell>
          <cell r="AF49">
            <v>0</v>
          </cell>
        </row>
        <row r="50">
          <cell r="F50">
            <v>3</v>
          </cell>
          <cell r="G50">
            <v>25.900000000000002</v>
          </cell>
          <cell r="H50">
            <v>10.14</v>
          </cell>
          <cell r="Q50">
            <v>0</v>
          </cell>
          <cell r="R50">
            <v>0</v>
          </cell>
          <cell r="T50">
            <v>15</v>
          </cell>
          <cell r="AC50">
            <v>0</v>
          </cell>
          <cell r="AD50">
            <v>0</v>
          </cell>
          <cell r="AF50">
            <v>7</v>
          </cell>
        </row>
        <row r="51">
          <cell r="F51">
            <v>1</v>
          </cell>
          <cell r="G51">
            <v>0</v>
          </cell>
          <cell r="H51">
            <v>9.9</v>
          </cell>
          <cell r="Q51">
            <v>0</v>
          </cell>
          <cell r="R51">
            <v>0</v>
          </cell>
          <cell r="T51">
            <v>0</v>
          </cell>
          <cell r="AC51">
            <v>0</v>
          </cell>
          <cell r="AD51">
            <v>0</v>
          </cell>
          <cell r="AF51">
            <v>0</v>
          </cell>
        </row>
        <row r="59">
          <cell r="R59">
            <v>395</v>
          </cell>
          <cell r="T59">
            <v>131</v>
          </cell>
        </row>
        <row r="60">
          <cell r="F60">
            <v>0</v>
          </cell>
          <cell r="G60">
            <v>0</v>
          </cell>
          <cell r="Q60">
            <v>0</v>
          </cell>
          <cell r="R60">
            <v>0</v>
          </cell>
          <cell r="T60">
            <v>0</v>
          </cell>
          <cell r="AC60">
            <v>0</v>
          </cell>
          <cell r="AD60">
            <v>0</v>
          </cell>
          <cell r="AF60">
            <v>0</v>
          </cell>
        </row>
        <row r="61">
          <cell r="F61">
            <v>4</v>
          </cell>
          <cell r="G61">
            <v>24.1</v>
          </cell>
          <cell r="H61">
            <v>20.01</v>
          </cell>
          <cell r="Q61">
            <v>10</v>
          </cell>
          <cell r="R61">
            <v>0</v>
          </cell>
          <cell r="T61">
            <v>0</v>
          </cell>
          <cell r="AC61">
            <v>4</v>
          </cell>
          <cell r="AD61">
            <v>15</v>
          </cell>
          <cell r="AF61">
            <v>3</v>
          </cell>
        </row>
        <row r="63">
          <cell r="F63">
            <v>2</v>
          </cell>
          <cell r="G63">
            <v>25.700000000000003</v>
          </cell>
          <cell r="H63">
            <v>2.9</v>
          </cell>
          <cell r="Q63">
            <v>0</v>
          </cell>
          <cell r="R63">
            <v>0</v>
          </cell>
          <cell r="T63">
            <v>3</v>
          </cell>
          <cell r="AC63">
            <v>0</v>
          </cell>
          <cell r="AD63">
            <v>0</v>
          </cell>
          <cell r="AF63">
            <v>0</v>
          </cell>
        </row>
        <row r="64">
          <cell r="F64">
            <v>16</v>
          </cell>
          <cell r="G64">
            <v>150.8</v>
          </cell>
          <cell r="H64">
            <v>13.799999999999999</v>
          </cell>
          <cell r="Q64">
            <v>21</v>
          </cell>
          <cell r="R64">
            <v>48</v>
          </cell>
          <cell r="T64">
            <v>27</v>
          </cell>
          <cell r="AC64">
            <v>2</v>
          </cell>
          <cell r="AD64">
            <v>0</v>
          </cell>
          <cell r="AF64">
            <v>9</v>
          </cell>
        </row>
        <row r="65">
          <cell r="F65">
            <v>5</v>
          </cell>
          <cell r="G65">
            <v>56.599999999999994</v>
          </cell>
          <cell r="H65">
            <v>6.9</v>
          </cell>
          <cell r="Q65">
            <v>25</v>
          </cell>
          <cell r="R65">
            <v>20</v>
          </cell>
          <cell r="T65">
            <v>14</v>
          </cell>
          <cell r="AC65">
            <v>2</v>
          </cell>
          <cell r="AD65">
            <v>7</v>
          </cell>
          <cell r="AF65">
            <v>5</v>
          </cell>
        </row>
        <row r="66">
          <cell r="F66">
            <v>3</v>
          </cell>
          <cell r="G66">
            <v>33.2</v>
          </cell>
          <cell r="H66">
            <v>5.8</v>
          </cell>
          <cell r="Q66">
            <v>14</v>
          </cell>
          <cell r="R66">
            <v>11</v>
          </cell>
          <cell r="T66">
            <v>11</v>
          </cell>
          <cell r="AC66">
            <v>2</v>
          </cell>
          <cell r="AD66">
            <v>0</v>
          </cell>
          <cell r="AF66">
            <v>10</v>
          </cell>
        </row>
        <row r="67">
          <cell r="F67">
            <v>0</v>
          </cell>
          <cell r="G67">
            <v>0</v>
          </cell>
          <cell r="H67">
            <v>0</v>
          </cell>
          <cell r="Q67">
            <v>0</v>
          </cell>
          <cell r="R67">
            <v>0</v>
          </cell>
          <cell r="T67">
            <v>0</v>
          </cell>
          <cell r="AC67">
            <v>0</v>
          </cell>
          <cell r="AD67">
            <v>0</v>
          </cell>
          <cell r="AF67">
            <v>0</v>
          </cell>
        </row>
        <row r="68">
          <cell r="F68">
            <v>3</v>
          </cell>
          <cell r="G68">
            <v>33.5</v>
          </cell>
          <cell r="H68">
            <v>0</v>
          </cell>
          <cell r="Q68">
            <v>3</v>
          </cell>
          <cell r="R68">
            <v>19</v>
          </cell>
          <cell r="T68">
            <v>4</v>
          </cell>
          <cell r="AC68">
            <v>0</v>
          </cell>
          <cell r="AD68">
            <v>0</v>
          </cell>
          <cell r="AF68">
            <v>0</v>
          </cell>
        </row>
        <row r="69">
          <cell r="F69">
            <v>2</v>
          </cell>
          <cell r="G69">
            <v>23.1</v>
          </cell>
          <cell r="H69">
            <v>0</v>
          </cell>
          <cell r="Q69">
            <v>3</v>
          </cell>
          <cell r="R69">
            <v>30</v>
          </cell>
          <cell r="T69">
            <v>2</v>
          </cell>
          <cell r="AC69">
            <v>0</v>
          </cell>
          <cell r="AD69">
            <v>0</v>
          </cell>
          <cell r="AF69">
            <v>0</v>
          </cell>
        </row>
        <row r="70">
          <cell r="F70">
            <v>9</v>
          </cell>
          <cell r="G70">
            <v>78.6</v>
          </cell>
          <cell r="H70">
            <v>12.5</v>
          </cell>
          <cell r="Q70">
            <v>0</v>
          </cell>
          <cell r="R70">
            <v>0</v>
          </cell>
          <cell r="T70">
            <v>13</v>
          </cell>
          <cell r="AC70">
            <v>0</v>
          </cell>
          <cell r="AD70">
            <v>0</v>
          </cell>
          <cell r="AF70">
            <v>3</v>
          </cell>
        </row>
        <row r="71">
          <cell r="F71">
            <v>28</v>
          </cell>
          <cell r="G71">
            <v>298.49999999999994</v>
          </cell>
          <cell r="H71">
            <v>4.5</v>
          </cell>
          <cell r="Q71">
            <v>33</v>
          </cell>
          <cell r="R71">
            <v>267</v>
          </cell>
          <cell r="T71">
            <v>57</v>
          </cell>
          <cell r="AC71">
            <v>0</v>
          </cell>
          <cell r="AD71">
            <v>0</v>
          </cell>
          <cell r="AF71">
            <v>0</v>
          </cell>
        </row>
        <row r="83">
          <cell r="F83">
            <v>1</v>
          </cell>
          <cell r="G83">
            <v>10</v>
          </cell>
          <cell r="H83">
            <v>0</v>
          </cell>
          <cell r="Q83">
            <v>0</v>
          </cell>
          <cell r="R83">
            <v>0</v>
          </cell>
          <cell r="T83">
            <v>1</v>
          </cell>
          <cell r="AC83">
            <v>0</v>
          </cell>
          <cell r="AD83">
            <v>0</v>
          </cell>
          <cell r="AF83">
            <v>0</v>
          </cell>
        </row>
        <row r="84">
          <cell r="F84">
            <v>7</v>
          </cell>
          <cell r="G84">
            <v>70</v>
          </cell>
          <cell r="H84">
            <v>0</v>
          </cell>
          <cell r="Q84">
            <v>1</v>
          </cell>
          <cell r="R84">
            <v>0</v>
          </cell>
          <cell r="T84">
            <v>7</v>
          </cell>
          <cell r="AC84">
            <v>0</v>
          </cell>
          <cell r="AD84">
            <v>0</v>
          </cell>
          <cell r="AF84">
            <v>0</v>
          </cell>
        </row>
        <row r="85">
          <cell r="F85">
            <v>22</v>
          </cell>
          <cell r="G85">
            <v>186</v>
          </cell>
          <cell r="H85">
            <v>34</v>
          </cell>
          <cell r="Q85">
            <v>19</v>
          </cell>
          <cell r="R85">
            <v>17</v>
          </cell>
          <cell r="T85">
            <v>36</v>
          </cell>
          <cell r="AC85">
            <v>3</v>
          </cell>
          <cell r="AD85">
            <v>7</v>
          </cell>
          <cell r="AF85">
            <v>5</v>
          </cell>
        </row>
        <row r="86">
          <cell r="F86">
            <v>4</v>
          </cell>
          <cell r="G86">
            <v>18</v>
          </cell>
          <cell r="H86">
            <v>22</v>
          </cell>
          <cell r="Q86">
            <v>4</v>
          </cell>
          <cell r="R86">
            <v>0</v>
          </cell>
          <cell r="T86">
            <v>0</v>
          </cell>
          <cell r="AC86">
            <v>0</v>
          </cell>
          <cell r="AD86">
            <v>0</v>
          </cell>
          <cell r="AF86">
            <v>3</v>
          </cell>
        </row>
        <row r="87">
          <cell r="F87">
            <v>15</v>
          </cell>
          <cell r="G87">
            <v>62.9</v>
          </cell>
          <cell r="H87">
            <v>93.83</v>
          </cell>
          <cell r="Q87">
            <v>31</v>
          </cell>
          <cell r="R87">
            <v>22</v>
          </cell>
          <cell r="T87">
            <v>33</v>
          </cell>
          <cell r="AC87">
            <v>43</v>
          </cell>
          <cell r="AD87">
            <v>39</v>
          </cell>
          <cell r="AF87">
            <v>46</v>
          </cell>
        </row>
        <row r="88">
          <cell r="F88">
            <v>1</v>
          </cell>
          <cell r="G88">
            <v>10</v>
          </cell>
          <cell r="H88">
            <v>0</v>
          </cell>
          <cell r="Q88">
            <v>8</v>
          </cell>
          <cell r="R88">
            <v>6</v>
          </cell>
          <cell r="T88">
            <v>10</v>
          </cell>
          <cell r="AC88">
            <v>0</v>
          </cell>
          <cell r="AD88">
            <v>0</v>
          </cell>
          <cell r="AF88">
            <v>0</v>
          </cell>
        </row>
        <row r="89">
          <cell r="F89">
            <v>9</v>
          </cell>
          <cell r="G89">
            <v>10.6</v>
          </cell>
          <cell r="H89">
            <v>89.19999999999999</v>
          </cell>
          <cell r="Q89">
            <v>3</v>
          </cell>
          <cell r="R89">
            <v>4</v>
          </cell>
          <cell r="T89">
            <v>3</v>
          </cell>
          <cell r="AC89">
            <v>20</v>
          </cell>
          <cell r="AD89">
            <v>33</v>
          </cell>
          <cell r="AF89">
            <v>33</v>
          </cell>
        </row>
        <row r="90">
          <cell r="F90">
            <v>8</v>
          </cell>
          <cell r="G90">
            <v>50.1</v>
          </cell>
          <cell r="H90">
            <v>38.400000000000006</v>
          </cell>
          <cell r="Q90">
            <v>11</v>
          </cell>
          <cell r="R90">
            <v>5</v>
          </cell>
          <cell r="T90">
            <v>14</v>
          </cell>
          <cell r="AC90">
            <v>2</v>
          </cell>
          <cell r="AD90">
            <v>3</v>
          </cell>
          <cell r="AF90">
            <v>7</v>
          </cell>
        </row>
        <row r="91">
          <cell r="F91">
            <v>0</v>
          </cell>
          <cell r="G91">
            <v>0</v>
          </cell>
          <cell r="H91">
            <v>0</v>
          </cell>
          <cell r="Q91">
            <v>0</v>
          </cell>
          <cell r="R91">
            <v>0</v>
          </cell>
          <cell r="T91">
            <v>0</v>
          </cell>
          <cell r="AC91">
            <v>0</v>
          </cell>
          <cell r="AD91">
            <v>0</v>
          </cell>
          <cell r="AF91">
            <v>0</v>
          </cell>
        </row>
        <row r="92">
          <cell r="F92">
            <v>7</v>
          </cell>
          <cell r="G92">
            <v>42.04</v>
          </cell>
          <cell r="H92">
            <v>32.36</v>
          </cell>
          <cell r="Q92">
            <v>16</v>
          </cell>
          <cell r="R92">
            <v>0</v>
          </cell>
          <cell r="T92">
            <v>13</v>
          </cell>
          <cell r="AC92">
            <v>6</v>
          </cell>
          <cell r="AD92">
            <v>0</v>
          </cell>
          <cell r="AF92">
            <v>12</v>
          </cell>
        </row>
        <row r="93">
          <cell r="F93">
            <v>2</v>
          </cell>
          <cell r="G93">
            <v>10.9</v>
          </cell>
          <cell r="H93">
            <v>10.3</v>
          </cell>
          <cell r="Q93">
            <v>2</v>
          </cell>
          <cell r="R93">
            <v>0</v>
          </cell>
          <cell r="T93">
            <v>5</v>
          </cell>
          <cell r="AC93">
            <v>0</v>
          </cell>
          <cell r="AD93">
            <v>0</v>
          </cell>
          <cell r="AF93">
            <v>1</v>
          </cell>
        </row>
        <row r="94">
          <cell r="F94">
            <v>6</v>
          </cell>
          <cell r="G94">
            <v>49.099999999999994</v>
          </cell>
          <cell r="H94">
            <v>19.2</v>
          </cell>
          <cell r="Q94">
            <v>15</v>
          </cell>
          <cell r="R94">
            <v>21</v>
          </cell>
          <cell r="T94">
            <v>15</v>
          </cell>
          <cell r="AC94">
            <v>5</v>
          </cell>
          <cell r="AD94">
            <v>3</v>
          </cell>
          <cell r="AF94">
            <v>9</v>
          </cell>
        </row>
        <row r="95">
          <cell r="F95">
            <v>1</v>
          </cell>
          <cell r="G95">
            <v>7.8</v>
          </cell>
          <cell r="H95">
            <v>4</v>
          </cell>
          <cell r="Q95">
            <v>12</v>
          </cell>
          <cell r="R95">
            <v>5</v>
          </cell>
          <cell r="T95">
            <v>6</v>
          </cell>
          <cell r="AC95">
            <v>8</v>
          </cell>
          <cell r="AD95">
            <v>0</v>
          </cell>
          <cell r="AF95">
            <v>4</v>
          </cell>
        </row>
        <row r="96">
          <cell r="F96">
            <v>7</v>
          </cell>
          <cell r="G96">
            <v>41.8</v>
          </cell>
          <cell r="H96">
            <v>35</v>
          </cell>
          <cell r="Q96">
            <v>21</v>
          </cell>
          <cell r="R96">
            <v>28</v>
          </cell>
          <cell r="T96">
            <v>24</v>
          </cell>
          <cell r="AC96">
            <v>15</v>
          </cell>
          <cell r="AD96">
            <v>28</v>
          </cell>
          <cell r="AF96">
            <v>16</v>
          </cell>
        </row>
        <row r="111">
          <cell r="F111">
            <v>0</v>
          </cell>
          <cell r="G111">
            <v>0</v>
          </cell>
          <cell r="H111">
            <v>0</v>
          </cell>
          <cell r="Q111">
            <v>0</v>
          </cell>
          <cell r="R111">
            <v>0</v>
          </cell>
          <cell r="T111">
            <v>0</v>
          </cell>
          <cell r="AC111">
            <v>0</v>
          </cell>
          <cell r="AD111">
            <v>0</v>
          </cell>
          <cell r="AF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Q112">
            <v>0</v>
          </cell>
          <cell r="R112">
            <v>0</v>
          </cell>
          <cell r="T112">
            <v>0</v>
          </cell>
          <cell r="AC112">
            <v>0</v>
          </cell>
          <cell r="AD112">
            <v>0</v>
          </cell>
          <cell r="AF112">
            <v>0</v>
          </cell>
        </row>
        <row r="113">
          <cell r="F113">
            <v>2</v>
          </cell>
          <cell r="G113">
            <v>6.2</v>
          </cell>
          <cell r="H113">
            <v>17.71</v>
          </cell>
          <cell r="Q113">
            <v>0</v>
          </cell>
          <cell r="R113">
            <v>8</v>
          </cell>
          <cell r="T113">
            <v>0</v>
          </cell>
          <cell r="AC113">
            <v>0</v>
          </cell>
          <cell r="AD113">
            <v>14</v>
          </cell>
          <cell r="AF113">
            <v>5</v>
          </cell>
        </row>
        <row r="114">
          <cell r="F114">
            <v>0</v>
          </cell>
          <cell r="G114">
            <v>0</v>
          </cell>
          <cell r="H114">
            <v>0</v>
          </cell>
          <cell r="Q114">
            <v>0</v>
          </cell>
          <cell r="R114">
            <v>0</v>
          </cell>
          <cell r="T114">
            <v>0</v>
          </cell>
          <cell r="AC114">
            <v>0</v>
          </cell>
          <cell r="AD114">
            <v>0</v>
          </cell>
          <cell r="AF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Q115">
            <v>0</v>
          </cell>
          <cell r="R115">
            <v>0</v>
          </cell>
          <cell r="T115">
            <v>0</v>
          </cell>
          <cell r="AC115">
            <v>0</v>
          </cell>
          <cell r="AD115">
            <v>0</v>
          </cell>
          <cell r="AF115">
            <v>0</v>
          </cell>
        </row>
        <row r="116">
          <cell r="F116">
            <v>2</v>
          </cell>
          <cell r="G116">
            <v>14.4</v>
          </cell>
          <cell r="H116">
            <v>5.1</v>
          </cell>
          <cell r="Q116">
            <v>13</v>
          </cell>
          <cell r="R116">
            <v>27</v>
          </cell>
          <cell r="T116">
            <v>4</v>
          </cell>
          <cell r="AC116">
            <v>0</v>
          </cell>
          <cell r="AD116">
            <v>0</v>
          </cell>
          <cell r="AF116">
            <v>4</v>
          </cell>
        </row>
        <row r="117">
          <cell r="F117">
            <v>3</v>
          </cell>
          <cell r="G117">
            <v>30.900000000000002</v>
          </cell>
          <cell r="H117">
            <v>0</v>
          </cell>
          <cell r="Q117">
            <v>7</v>
          </cell>
          <cell r="R117">
            <v>0</v>
          </cell>
          <cell r="T117">
            <v>8</v>
          </cell>
          <cell r="AC117">
            <v>0</v>
          </cell>
          <cell r="AD117">
            <v>0</v>
          </cell>
          <cell r="AF117">
            <v>0</v>
          </cell>
        </row>
        <row r="118">
          <cell r="F118">
            <v>4</v>
          </cell>
          <cell r="G118">
            <v>32.84</v>
          </cell>
          <cell r="H118">
            <v>13.18</v>
          </cell>
          <cell r="Q118">
            <v>28</v>
          </cell>
          <cell r="R118">
            <v>11</v>
          </cell>
          <cell r="T118">
            <v>19</v>
          </cell>
          <cell r="AC118">
            <v>5</v>
          </cell>
          <cell r="AD118">
            <v>43</v>
          </cell>
          <cell r="AF118">
            <v>6</v>
          </cell>
        </row>
        <row r="119">
          <cell r="F119">
            <v>0</v>
          </cell>
          <cell r="G119">
            <v>0</v>
          </cell>
          <cell r="H119">
            <v>0</v>
          </cell>
          <cell r="Q119">
            <v>0</v>
          </cell>
          <cell r="R119">
            <v>0</v>
          </cell>
          <cell r="T119">
            <v>0</v>
          </cell>
          <cell r="AC119">
            <v>0</v>
          </cell>
          <cell r="AD119">
            <v>0</v>
          </cell>
          <cell r="AF119">
            <v>0</v>
          </cell>
        </row>
        <row r="120">
          <cell r="F120">
            <v>18</v>
          </cell>
          <cell r="G120">
            <v>198.86</v>
          </cell>
          <cell r="H120">
            <v>130.01999999999998</v>
          </cell>
          <cell r="Q120">
            <v>36</v>
          </cell>
          <cell r="R120">
            <v>4</v>
          </cell>
          <cell r="T120">
            <v>39</v>
          </cell>
          <cell r="AC120">
            <v>1</v>
          </cell>
          <cell r="AD120">
            <v>2</v>
          </cell>
          <cell r="AF120">
            <v>1</v>
          </cell>
        </row>
        <row r="121">
          <cell r="F121">
            <v>0</v>
          </cell>
          <cell r="G121">
            <v>0</v>
          </cell>
          <cell r="H121">
            <v>0</v>
          </cell>
          <cell r="Q121">
            <v>0</v>
          </cell>
          <cell r="R121">
            <v>0</v>
          </cell>
          <cell r="T121">
            <v>0</v>
          </cell>
          <cell r="AC121">
            <v>0</v>
          </cell>
          <cell r="AD121">
            <v>0</v>
          </cell>
          <cell r="AF121">
            <v>0</v>
          </cell>
        </row>
        <row r="122">
          <cell r="F122">
            <v>1</v>
          </cell>
          <cell r="G122">
            <v>10.6</v>
          </cell>
          <cell r="H122">
            <v>0</v>
          </cell>
          <cell r="Q122">
            <v>5</v>
          </cell>
          <cell r="R122">
            <v>0</v>
          </cell>
          <cell r="T122">
            <v>2</v>
          </cell>
          <cell r="AC122">
            <v>0</v>
          </cell>
          <cell r="AD122">
            <v>0</v>
          </cell>
          <cell r="AF122">
            <v>0</v>
          </cell>
        </row>
        <row r="123">
          <cell r="F123">
            <v>3</v>
          </cell>
          <cell r="G123">
            <v>22.6</v>
          </cell>
          <cell r="H123">
            <v>11.42</v>
          </cell>
          <cell r="Q123">
            <v>9</v>
          </cell>
          <cell r="R123">
            <v>0</v>
          </cell>
          <cell r="T123">
            <v>4</v>
          </cell>
          <cell r="AC123">
            <v>3</v>
          </cell>
          <cell r="AD123">
            <v>0</v>
          </cell>
          <cell r="AF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Q124">
            <v>0</v>
          </cell>
          <cell r="R124">
            <v>0</v>
          </cell>
          <cell r="T124">
            <v>0</v>
          </cell>
          <cell r="AC124">
            <v>0</v>
          </cell>
          <cell r="AD124">
            <v>0</v>
          </cell>
          <cell r="AF124">
            <v>0</v>
          </cell>
        </row>
        <row r="125">
          <cell r="F125">
            <v>8</v>
          </cell>
          <cell r="G125">
            <v>41.34</v>
          </cell>
          <cell r="H125">
            <v>42.25</v>
          </cell>
          <cell r="Q125">
            <v>9</v>
          </cell>
          <cell r="R125">
            <v>17</v>
          </cell>
          <cell r="T125">
            <v>12</v>
          </cell>
          <cell r="AC125">
            <v>8</v>
          </cell>
          <cell r="AD125">
            <v>15</v>
          </cell>
          <cell r="AF125">
            <v>11</v>
          </cell>
        </row>
        <row r="126">
          <cell r="F126">
            <v>0</v>
          </cell>
          <cell r="G126">
            <v>0</v>
          </cell>
          <cell r="H126">
            <v>0</v>
          </cell>
          <cell r="Q126">
            <v>0</v>
          </cell>
          <cell r="R126">
            <v>0</v>
          </cell>
          <cell r="T126">
            <v>0</v>
          </cell>
          <cell r="AC126">
            <v>0</v>
          </cell>
          <cell r="AD126">
            <v>0</v>
          </cell>
          <cell r="AF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Q127">
            <v>0</v>
          </cell>
          <cell r="R127">
            <v>0</v>
          </cell>
          <cell r="T127">
            <v>0</v>
          </cell>
          <cell r="AC127">
            <v>0</v>
          </cell>
          <cell r="AD127">
            <v>0</v>
          </cell>
          <cell r="AF127">
            <v>0</v>
          </cell>
        </row>
        <row r="133">
          <cell r="F133">
            <v>31</v>
          </cell>
          <cell r="G133">
            <v>321.7</v>
          </cell>
          <cell r="H133">
            <v>0</v>
          </cell>
          <cell r="Q133">
            <v>24</v>
          </cell>
          <cell r="R133">
            <v>66</v>
          </cell>
          <cell r="T133">
            <v>25</v>
          </cell>
          <cell r="AC133">
            <v>0</v>
          </cell>
          <cell r="AD133">
            <v>0</v>
          </cell>
          <cell r="AF133">
            <v>0</v>
          </cell>
        </row>
        <row r="134">
          <cell r="F134">
            <v>2</v>
          </cell>
          <cell r="G134">
            <v>16.7</v>
          </cell>
          <cell r="H134">
            <v>6.5</v>
          </cell>
          <cell r="Q134">
            <v>12</v>
          </cell>
          <cell r="R134">
            <v>15</v>
          </cell>
          <cell r="T134">
            <v>1</v>
          </cell>
          <cell r="AC134">
            <v>0</v>
          </cell>
          <cell r="AD134">
            <v>0</v>
          </cell>
          <cell r="AF134">
            <v>1</v>
          </cell>
        </row>
        <row r="135">
          <cell r="F135">
            <v>4</v>
          </cell>
          <cell r="G135">
            <v>48.22</v>
          </cell>
          <cell r="H135">
            <v>0</v>
          </cell>
          <cell r="Q135">
            <v>6</v>
          </cell>
          <cell r="R135">
            <v>10</v>
          </cell>
          <cell r="T135">
            <v>4</v>
          </cell>
          <cell r="AC135">
            <v>0</v>
          </cell>
          <cell r="AD135">
            <v>0</v>
          </cell>
          <cell r="AF135">
            <v>0</v>
          </cell>
        </row>
        <row r="136">
          <cell r="F136">
            <v>7</v>
          </cell>
          <cell r="G136">
            <v>78.42</v>
          </cell>
          <cell r="H136">
            <v>4.510000000000001</v>
          </cell>
          <cell r="Q136">
            <v>6</v>
          </cell>
          <cell r="R136">
            <v>8</v>
          </cell>
          <cell r="T136">
            <v>7</v>
          </cell>
          <cell r="AC136">
            <v>0</v>
          </cell>
          <cell r="AD136">
            <v>0</v>
          </cell>
          <cell r="AF136">
            <v>0</v>
          </cell>
        </row>
        <row r="137">
          <cell r="F137">
            <v>2</v>
          </cell>
          <cell r="G137">
            <v>6.29</v>
          </cell>
          <cell r="H137">
            <v>14.65</v>
          </cell>
          <cell r="Q137">
            <v>2</v>
          </cell>
          <cell r="R137">
            <v>0</v>
          </cell>
          <cell r="T137">
            <v>3</v>
          </cell>
          <cell r="AC137">
            <v>4</v>
          </cell>
          <cell r="AD137">
            <v>19</v>
          </cell>
          <cell r="AF137">
            <v>5</v>
          </cell>
        </row>
        <row r="138">
          <cell r="F138">
            <v>14</v>
          </cell>
          <cell r="G138">
            <v>139.6</v>
          </cell>
          <cell r="H138">
            <v>5.199999999999999</v>
          </cell>
          <cell r="Q138">
            <v>19</v>
          </cell>
          <cell r="R138">
            <v>17</v>
          </cell>
          <cell r="T138">
            <v>14</v>
          </cell>
          <cell r="AC138">
            <v>3</v>
          </cell>
          <cell r="AD138">
            <v>0</v>
          </cell>
          <cell r="AF138">
            <v>0</v>
          </cell>
        </row>
        <row r="150">
          <cell r="F150">
            <v>2</v>
          </cell>
          <cell r="G150">
            <v>16.1</v>
          </cell>
          <cell r="H150">
            <v>4.8</v>
          </cell>
          <cell r="Q150">
            <v>15</v>
          </cell>
          <cell r="R150">
            <v>23</v>
          </cell>
          <cell r="T150">
            <v>9</v>
          </cell>
          <cell r="AC150">
            <v>0</v>
          </cell>
          <cell r="AD150">
            <v>0</v>
          </cell>
          <cell r="AF150">
            <v>3</v>
          </cell>
        </row>
        <row r="151">
          <cell r="F151">
            <v>0</v>
          </cell>
          <cell r="G151">
            <v>0</v>
          </cell>
          <cell r="H151">
            <v>0</v>
          </cell>
          <cell r="Q151">
            <v>0</v>
          </cell>
          <cell r="R151">
            <v>0</v>
          </cell>
          <cell r="T151">
            <v>0</v>
          </cell>
          <cell r="AC151">
            <v>0</v>
          </cell>
          <cell r="AD151">
            <v>0</v>
          </cell>
          <cell r="AF151">
            <v>0</v>
          </cell>
        </row>
        <row r="152">
          <cell r="F152">
            <v>22</v>
          </cell>
          <cell r="G152">
            <v>164.36999999999998</v>
          </cell>
          <cell r="H152">
            <v>87.1</v>
          </cell>
          <cell r="Q152">
            <v>42</v>
          </cell>
          <cell r="R152">
            <v>97</v>
          </cell>
          <cell r="T152">
            <v>32</v>
          </cell>
          <cell r="AC152">
            <v>0</v>
          </cell>
          <cell r="AD152">
            <v>0</v>
          </cell>
          <cell r="AF152">
            <v>3</v>
          </cell>
        </row>
        <row r="153">
          <cell r="F153">
            <v>1</v>
          </cell>
          <cell r="G153">
            <v>6.1</v>
          </cell>
          <cell r="H153">
            <v>0</v>
          </cell>
          <cell r="Q153">
            <v>3</v>
          </cell>
          <cell r="R153">
            <v>7</v>
          </cell>
          <cell r="T153">
            <v>7</v>
          </cell>
          <cell r="AC153">
            <v>0</v>
          </cell>
          <cell r="AD153">
            <v>0</v>
          </cell>
          <cell r="AF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Q154">
            <v>0</v>
          </cell>
          <cell r="R154">
            <v>0</v>
          </cell>
          <cell r="T154">
            <v>0</v>
          </cell>
          <cell r="AC154">
            <v>0</v>
          </cell>
          <cell r="AD154">
            <v>0</v>
          </cell>
          <cell r="AF154">
            <v>0</v>
          </cell>
        </row>
        <row r="155">
          <cell r="F155">
            <v>6</v>
          </cell>
          <cell r="G155">
            <v>60</v>
          </cell>
          <cell r="H155">
            <v>0</v>
          </cell>
          <cell r="Q155">
            <v>8</v>
          </cell>
          <cell r="R155">
            <v>17</v>
          </cell>
          <cell r="T155">
            <v>7</v>
          </cell>
          <cell r="AC155">
            <v>0</v>
          </cell>
          <cell r="AD155">
            <v>0</v>
          </cell>
          <cell r="AF155">
            <v>0</v>
          </cell>
        </row>
        <row r="156">
          <cell r="F156">
            <v>5</v>
          </cell>
          <cell r="G156">
            <v>50</v>
          </cell>
          <cell r="H156">
            <v>0</v>
          </cell>
          <cell r="Q156">
            <v>4</v>
          </cell>
          <cell r="R156">
            <v>13</v>
          </cell>
          <cell r="T156">
            <v>7</v>
          </cell>
          <cell r="AC156">
            <v>0</v>
          </cell>
          <cell r="AD156">
            <v>0</v>
          </cell>
          <cell r="AF156">
            <v>0</v>
          </cell>
        </row>
        <row r="157">
          <cell r="F157">
            <v>5</v>
          </cell>
          <cell r="G157">
            <v>44.1</v>
          </cell>
          <cell r="H157">
            <v>13.100000000000001</v>
          </cell>
          <cell r="Q157">
            <v>12</v>
          </cell>
          <cell r="R157">
            <v>32</v>
          </cell>
          <cell r="T157">
            <v>22</v>
          </cell>
          <cell r="AC157">
            <v>4</v>
          </cell>
          <cell r="AD157">
            <v>0</v>
          </cell>
          <cell r="AF157">
            <v>1</v>
          </cell>
        </row>
        <row r="158">
          <cell r="F158">
            <v>0</v>
          </cell>
          <cell r="G158">
            <v>0</v>
          </cell>
          <cell r="H158">
            <v>0</v>
          </cell>
          <cell r="Q158">
            <v>0</v>
          </cell>
          <cell r="R158">
            <v>0</v>
          </cell>
          <cell r="T158">
            <v>0</v>
          </cell>
          <cell r="AC158">
            <v>0</v>
          </cell>
          <cell r="AD158">
            <v>0</v>
          </cell>
          <cell r="AF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Q159">
            <v>0</v>
          </cell>
          <cell r="AC159">
            <v>0</v>
          </cell>
          <cell r="AD159">
            <v>0</v>
          </cell>
          <cell r="AF159">
            <v>0</v>
          </cell>
        </row>
        <row r="160">
          <cell r="F160">
            <v>3</v>
          </cell>
          <cell r="G160">
            <v>33.599999999999994</v>
          </cell>
          <cell r="H160">
            <v>2.3</v>
          </cell>
          <cell r="Q160">
            <v>10</v>
          </cell>
          <cell r="R160">
            <v>15</v>
          </cell>
          <cell r="T160">
            <v>14</v>
          </cell>
          <cell r="AC160">
            <v>0</v>
          </cell>
          <cell r="AD160">
            <v>0</v>
          </cell>
          <cell r="AF160">
            <v>0</v>
          </cell>
        </row>
        <row r="161">
          <cell r="F161">
            <v>4</v>
          </cell>
          <cell r="G161">
            <v>45.94</v>
          </cell>
          <cell r="H161">
            <v>0</v>
          </cell>
          <cell r="Q161">
            <v>10</v>
          </cell>
          <cell r="R161">
            <v>19</v>
          </cell>
          <cell r="T161">
            <v>19</v>
          </cell>
          <cell r="AC161">
            <v>0</v>
          </cell>
          <cell r="AD161">
            <v>0</v>
          </cell>
          <cell r="AF161">
            <v>0</v>
          </cell>
        </row>
        <row r="170">
          <cell r="F170">
            <v>39</v>
          </cell>
          <cell r="G170">
            <v>353.79999999999995</v>
          </cell>
          <cell r="H170">
            <v>36.18</v>
          </cell>
          <cell r="Q170">
            <v>28</v>
          </cell>
          <cell r="R170">
            <v>82</v>
          </cell>
          <cell r="T170">
            <v>55</v>
          </cell>
          <cell r="AC170">
            <v>0</v>
          </cell>
          <cell r="AD170">
            <v>10</v>
          </cell>
          <cell r="AF170">
            <v>1</v>
          </cell>
        </row>
        <row r="171">
          <cell r="F171">
            <v>6</v>
          </cell>
          <cell r="G171">
            <v>34.6</v>
          </cell>
          <cell r="H171">
            <v>33.599999999999994</v>
          </cell>
          <cell r="Q171">
            <v>0</v>
          </cell>
          <cell r="R171">
            <v>0</v>
          </cell>
          <cell r="T171">
            <v>7</v>
          </cell>
          <cell r="AC171">
            <v>0</v>
          </cell>
          <cell r="AD171">
            <v>15</v>
          </cell>
          <cell r="AF171">
            <v>0</v>
          </cell>
        </row>
        <row r="175">
          <cell r="F175">
            <v>44</v>
          </cell>
          <cell r="G175">
            <v>441.26</v>
          </cell>
          <cell r="J175">
            <v>441.26</v>
          </cell>
          <cell r="Q175">
            <v>64</v>
          </cell>
          <cell r="R175">
            <v>119</v>
          </cell>
          <cell r="T175">
            <v>19</v>
          </cell>
          <cell r="AC175">
            <v>0</v>
          </cell>
          <cell r="AD175">
            <v>0</v>
          </cell>
          <cell r="AF175">
            <v>0</v>
          </cell>
        </row>
        <row r="176">
          <cell r="F176">
            <v>11</v>
          </cell>
          <cell r="G176">
            <v>66.9</v>
          </cell>
          <cell r="J176">
            <v>102.30000000000001</v>
          </cell>
          <cell r="Q176">
            <v>49</v>
          </cell>
          <cell r="R176">
            <v>30</v>
          </cell>
          <cell r="T176">
            <v>12</v>
          </cell>
          <cell r="AC176">
            <v>2</v>
          </cell>
          <cell r="AD176">
            <v>9</v>
          </cell>
          <cell r="AF176">
            <v>1</v>
          </cell>
        </row>
        <row r="177">
          <cell r="F177">
            <v>3</v>
          </cell>
          <cell r="G177">
            <v>31.7</v>
          </cell>
          <cell r="J177">
            <v>33.8</v>
          </cell>
          <cell r="Q177">
            <v>1</v>
          </cell>
          <cell r="R177">
            <v>0</v>
          </cell>
          <cell r="T177">
            <v>2</v>
          </cell>
          <cell r="AC177">
            <v>0</v>
          </cell>
          <cell r="AD177">
            <v>0</v>
          </cell>
          <cell r="AF177">
            <v>0</v>
          </cell>
        </row>
      </sheetData>
      <sheetData sheetId="2">
        <row r="12">
          <cell r="F12">
            <v>47.5</v>
          </cell>
        </row>
        <row r="13">
          <cell r="F13">
            <v>38.188</v>
          </cell>
        </row>
        <row r="16">
          <cell r="F16">
            <v>648.017</v>
          </cell>
        </row>
        <row r="17">
          <cell r="F17">
            <v>566</v>
          </cell>
        </row>
        <row r="18">
          <cell r="F18">
            <v>144</v>
          </cell>
        </row>
        <row r="19">
          <cell r="F19">
            <v>40</v>
          </cell>
        </row>
        <row r="20">
          <cell r="F20">
            <v>85</v>
          </cell>
        </row>
        <row r="21">
          <cell r="F21">
            <v>75.4</v>
          </cell>
        </row>
        <row r="22">
          <cell r="F22">
            <v>136</v>
          </cell>
        </row>
        <row r="23">
          <cell r="F23">
            <v>113</v>
          </cell>
        </row>
        <row r="24">
          <cell r="F24">
            <v>205.097</v>
          </cell>
        </row>
        <row r="25">
          <cell r="F25">
            <v>116.6</v>
          </cell>
        </row>
        <row r="26">
          <cell r="F26">
            <v>201.063</v>
          </cell>
        </row>
        <row r="27">
          <cell r="F27">
            <v>67.361</v>
          </cell>
        </row>
        <row r="28">
          <cell r="F28">
            <v>53.867</v>
          </cell>
        </row>
        <row r="29">
          <cell r="F29">
            <v>100.78</v>
          </cell>
        </row>
        <row r="30">
          <cell r="F30">
            <v>34.42</v>
          </cell>
        </row>
        <row r="31">
          <cell r="F31">
            <v>161.327</v>
          </cell>
        </row>
        <row r="32">
          <cell r="F32">
            <v>681</v>
          </cell>
        </row>
        <row r="33">
          <cell r="F33">
            <v>41.655</v>
          </cell>
        </row>
        <row r="34">
          <cell r="F34">
            <v>237.32</v>
          </cell>
        </row>
        <row r="35">
          <cell r="F35">
            <v>124.78</v>
          </cell>
        </row>
        <row r="36">
          <cell r="F36">
            <v>25.6365</v>
          </cell>
        </row>
        <row r="37">
          <cell r="F37">
            <v>240.043</v>
          </cell>
        </row>
        <row r="38">
          <cell r="F38">
            <v>72.263</v>
          </cell>
        </row>
        <row r="39">
          <cell r="F39">
            <v>48</v>
          </cell>
        </row>
        <row r="40">
          <cell r="F40">
            <v>149.4</v>
          </cell>
        </row>
        <row r="41">
          <cell r="F41">
            <v>55.213</v>
          </cell>
        </row>
        <row r="42">
          <cell r="F42">
            <v>117.698</v>
          </cell>
        </row>
        <row r="43">
          <cell r="F43">
            <v>282.278</v>
          </cell>
        </row>
        <row r="44">
          <cell r="F44">
            <v>103</v>
          </cell>
        </row>
        <row r="45">
          <cell r="F45">
            <v>207</v>
          </cell>
        </row>
        <row r="46">
          <cell r="F46">
            <v>317.5985</v>
          </cell>
        </row>
        <row r="47">
          <cell r="F47">
            <v>166.5</v>
          </cell>
        </row>
        <row r="48">
          <cell r="F48">
            <v>11.59</v>
          </cell>
        </row>
        <row r="49">
          <cell r="F49">
            <v>252.3</v>
          </cell>
        </row>
        <row r="50">
          <cell r="F50">
            <v>209.208</v>
          </cell>
        </row>
        <row r="51">
          <cell r="F51">
            <v>544.149</v>
          </cell>
        </row>
        <row r="52">
          <cell r="F52">
            <v>173.413</v>
          </cell>
        </row>
        <row r="60">
          <cell r="F60">
            <v>45.173</v>
          </cell>
        </row>
        <row r="61">
          <cell r="F61">
            <v>309.7</v>
          </cell>
        </row>
        <row r="62">
          <cell r="F62">
            <v>246.336</v>
          </cell>
        </row>
        <row r="63">
          <cell r="F63">
            <v>1221.2</v>
          </cell>
        </row>
        <row r="64">
          <cell r="F64">
            <v>662</v>
          </cell>
        </row>
        <row r="65">
          <cell r="F65">
            <v>265.423</v>
          </cell>
        </row>
        <row r="66">
          <cell r="F66">
            <v>245.077</v>
          </cell>
        </row>
        <row r="67">
          <cell r="F67">
            <v>303.961</v>
          </cell>
        </row>
        <row r="68">
          <cell r="F68">
            <v>54.1614</v>
          </cell>
        </row>
        <row r="69">
          <cell r="F69">
            <v>500.249</v>
          </cell>
        </row>
        <row r="70">
          <cell r="F70">
            <v>2181.5546</v>
          </cell>
        </row>
        <row r="77">
          <cell r="F77">
            <v>225</v>
          </cell>
        </row>
        <row r="78">
          <cell r="F78">
            <v>520</v>
          </cell>
        </row>
        <row r="79">
          <cell r="F79">
            <v>2256</v>
          </cell>
        </row>
        <row r="80">
          <cell r="F80">
            <v>255.545</v>
          </cell>
        </row>
        <row r="81">
          <cell r="F81">
            <v>1294.273</v>
          </cell>
        </row>
        <row r="82">
          <cell r="F82">
            <v>1035</v>
          </cell>
        </row>
        <row r="83">
          <cell r="F83">
            <v>207.569</v>
          </cell>
        </row>
        <row r="84">
          <cell r="F84">
            <v>684.946</v>
          </cell>
        </row>
        <row r="85">
          <cell r="F85">
            <v>156.031</v>
          </cell>
        </row>
        <row r="86">
          <cell r="F86">
            <v>609.2</v>
          </cell>
        </row>
        <row r="87">
          <cell r="F87">
            <v>555</v>
          </cell>
        </row>
        <row r="88">
          <cell r="F88">
            <v>235.4</v>
          </cell>
        </row>
        <row r="89">
          <cell r="F89">
            <v>526.4</v>
          </cell>
        </row>
        <row r="90">
          <cell r="F90">
            <v>500.425</v>
          </cell>
        </row>
        <row r="95">
          <cell r="F95">
            <v>215.5</v>
          </cell>
        </row>
        <row r="96">
          <cell r="F96">
            <v>917.285</v>
          </cell>
        </row>
        <row r="97">
          <cell r="F97">
            <v>306.857</v>
          </cell>
        </row>
        <row r="98">
          <cell r="F98">
            <v>176.709</v>
          </cell>
        </row>
        <row r="99">
          <cell r="F99">
            <v>344.676</v>
          </cell>
        </row>
        <row r="100">
          <cell r="F100">
            <v>474.722</v>
          </cell>
        </row>
        <row r="101">
          <cell r="F101">
            <v>75.842</v>
          </cell>
        </row>
        <row r="102">
          <cell r="F102">
            <v>243.367</v>
          </cell>
        </row>
        <row r="103">
          <cell r="F103">
            <v>350</v>
          </cell>
        </row>
        <row r="104">
          <cell r="F104">
            <v>5398</v>
          </cell>
        </row>
        <row r="105">
          <cell r="F105">
            <v>255.665</v>
          </cell>
        </row>
        <row r="106">
          <cell r="F106">
            <v>190.214</v>
          </cell>
        </row>
        <row r="107">
          <cell r="F107">
            <v>263.685</v>
          </cell>
        </row>
        <row r="108">
          <cell r="F108">
            <v>356.318</v>
          </cell>
        </row>
        <row r="109">
          <cell r="F109">
            <v>397.065</v>
          </cell>
        </row>
        <row r="110">
          <cell r="F110">
            <v>114.404</v>
          </cell>
        </row>
        <row r="111">
          <cell r="F111">
            <v>117.214</v>
          </cell>
        </row>
        <row r="119">
          <cell r="F119">
            <v>2465</v>
          </cell>
        </row>
        <row r="120">
          <cell r="F120">
            <v>212.2506</v>
          </cell>
        </row>
        <row r="121">
          <cell r="F121">
            <v>370</v>
          </cell>
        </row>
        <row r="122">
          <cell r="F122">
            <v>798.6244</v>
          </cell>
        </row>
        <row r="123">
          <cell r="F123">
            <v>656.354</v>
          </cell>
        </row>
        <row r="124">
          <cell r="F124">
            <v>160.95</v>
          </cell>
        </row>
        <row r="131">
          <cell r="F131">
            <v>46.194</v>
          </cell>
        </row>
        <row r="132">
          <cell r="F132">
            <v>37</v>
          </cell>
        </row>
        <row r="133">
          <cell r="F133">
            <v>1230.0175</v>
          </cell>
        </row>
        <row r="134">
          <cell r="F134">
            <v>165.121</v>
          </cell>
        </row>
        <row r="135">
          <cell r="F135">
            <v>175.227</v>
          </cell>
        </row>
        <row r="136">
          <cell r="F136">
            <v>338.165</v>
          </cell>
        </row>
        <row r="137">
          <cell r="F137">
            <v>622.984</v>
          </cell>
        </row>
        <row r="138">
          <cell r="F138">
            <v>225.0354</v>
          </cell>
        </row>
        <row r="139">
          <cell r="F139">
            <v>296.717</v>
          </cell>
        </row>
        <row r="140">
          <cell r="F140">
            <v>14.267</v>
          </cell>
        </row>
        <row r="141">
          <cell r="F141">
            <v>139.5626</v>
          </cell>
        </row>
        <row r="142">
          <cell r="F142">
            <v>257.0065</v>
          </cell>
        </row>
        <row r="147">
          <cell r="F147">
            <v>1679</v>
          </cell>
        </row>
        <row r="148">
          <cell r="F148">
            <v>239.73</v>
          </cell>
        </row>
        <row r="151">
          <cell r="F151">
            <v>2316</v>
          </cell>
        </row>
        <row r="152">
          <cell r="F152">
            <v>529.2654</v>
          </cell>
        </row>
        <row r="153">
          <cell r="F153">
            <v>61.5416</v>
          </cell>
        </row>
        <row r="156">
          <cell r="G156">
            <v>751</v>
          </cell>
          <cell r="J156">
            <v>494</v>
          </cell>
          <cell r="K156">
            <v>215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-5"/>
      <sheetName val="А-4"/>
      <sheetName val="Норматив и фактически"/>
    </sheetNames>
    <sheetDataSet>
      <sheetData sheetId="2">
        <row r="130">
          <cell r="K130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11"/>
  </sheetPr>
  <dimension ref="A1:AK148"/>
  <sheetViews>
    <sheetView zoomScale="75" zoomScaleNormal="75" zoomScaleSheetLayoutView="75" workbookViewId="0" topLeftCell="H118">
      <selection activeCell="AA147" sqref="AA147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3" width="36.00390625" style="0" customWidth="1"/>
    <col min="4" max="4" width="8.00390625" style="0" customWidth="1"/>
    <col min="5" max="5" width="13.57421875" style="0" customWidth="1"/>
    <col min="6" max="6" width="11.57421875" style="0" customWidth="1"/>
    <col min="7" max="7" width="12.140625" style="27" customWidth="1"/>
    <col min="8" max="8" width="11.7109375" style="27" customWidth="1"/>
    <col min="9" max="9" width="9.421875" style="27" customWidth="1"/>
    <col min="10" max="10" width="10.140625" style="27" customWidth="1"/>
    <col min="11" max="11" width="9.8515625" style="27" customWidth="1"/>
    <col min="12" max="12" width="11.140625" style="27" customWidth="1"/>
    <col min="13" max="13" width="9.8515625" style="27" customWidth="1"/>
    <col min="14" max="14" width="8.57421875" style="27" customWidth="1"/>
    <col min="15" max="15" width="8.8515625" style="27" customWidth="1"/>
    <col min="16" max="16" width="7.28125" style="27" customWidth="1"/>
    <col min="17" max="17" width="7.57421875" style="27" customWidth="1"/>
    <col min="18" max="18" width="7.7109375" style="27" customWidth="1"/>
    <col min="19" max="19" width="7.8515625" style="27" customWidth="1"/>
    <col min="20" max="20" width="7.7109375" style="0" customWidth="1"/>
    <col min="21" max="21" width="7.00390625" style="0" customWidth="1"/>
    <col min="22" max="22" width="6.7109375" style="0" customWidth="1"/>
    <col min="23" max="23" width="6.421875" style="0" customWidth="1"/>
    <col min="24" max="24" width="5.421875" style="0" customWidth="1"/>
    <col min="25" max="25" width="7.8515625" style="0" customWidth="1"/>
    <col min="26" max="26" width="5.140625" style="0" customWidth="1"/>
    <col min="27" max="27" width="5.57421875" style="0" customWidth="1"/>
    <col min="28" max="28" width="8.00390625" style="0" customWidth="1"/>
    <col min="29" max="29" width="5.57421875" style="0" customWidth="1"/>
    <col min="30" max="30" width="9.421875" style="0" customWidth="1"/>
    <col min="31" max="31" width="5.00390625" style="0" customWidth="1"/>
    <col min="32" max="32" width="5.421875" style="0" customWidth="1"/>
    <col min="33" max="33" width="5.57421875" style="0" customWidth="1"/>
    <col min="34" max="34" width="5.8515625" style="0" customWidth="1"/>
    <col min="35" max="35" width="5.140625" style="0" customWidth="1"/>
    <col min="36" max="36" width="4.7109375" style="0" customWidth="1"/>
  </cols>
  <sheetData>
    <row r="1" spans="2:34" ht="97.5" customHeight="1">
      <c r="B1" s="219" t="s">
        <v>179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173"/>
      <c r="Y1" s="173"/>
      <c r="Z1" s="173"/>
      <c r="AE1" s="2"/>
      <c r="AF1" s="1" t="s">
        <v>0</v>
      </c>
      <c r="AG1" s="1"/>
      <c r="AH1" s="2"/>
    </row>
    <row r="2" spans="1:35" ht="15.75">
      <c r="A2" s="2"/>
      <c r="B2" s="3"/>
      <c r="C2" s="3"/>
      <c r="D2" s="3"/>
      <c r="E2" s="3"/>
      <c r="F2" s="3"/>
      <c r="G2" s="59"/>
      <c r="H2" s="59"/>
      <c r="I2" s="59"/>
      <c r="J2" s="59"/>
      <c r="K2" s="59"/>
      <c r="L2" s="59"/>
      <c r="M2" s="59"/>
      <c r="N2" s="59"/>
      <c r="O2" s="58"/>
      <c r="P2" s="58"/>
      <c r="Q2" s="58"/>
      <c r="R2" s="58"/>
      <c r="S2" s="5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35.25" customHeight="1">
      <c r="A3" s="2"/>
      <c r="B3" s="2" t="s">
        <v>1</v>
      </c>
      <c r="C3" s="3" t="s">
        <v>8</v>
      </c>
      <c r="D3" s="3"/>
      <c r="E3" s="3"/>
      <c r="F3" s="3"/>
      <c r="G3" s="60"/>
      <c r="H3" s="60"/>
      <c r="I3" s="60"/>
      <c r="J3" s="60"/>
      <c r="K3" s="60"/>
      <c r="L3" s="223" t="s">
        <v>42</v>
      </c>
      <c r="M3" s="224"/>
      <c r="N3" s="61"/>
      <c r="O3" s="62">
        <v>33</v>
      </c>
      <c r="P3" s="63" t="s">
        <v>41</v>
      </c>
      <c r="R3" s="58" t="s">
        <v>3</v>
      </c>
      <c r="S3" s="58"/>
      <c r="T3" s="2"/>
      <c r="U3" s="2"/>
      <c r="V3" s="57">
        <f>'[1]Норматив и фактически 2017'!$J$156</f>
        <v>494</v>
      </c>
      <c r="W3" s="2" t="s">
        <v>2</v>
      </c>
      <c r="X3" s="2"/>
      <c r="Y3" s="4"/>
      <c r="Z3" s="2" t="s">
        <v>2</v>
      </c>
      <c r="AA3" s="2" t="s">
        <v>3</v>
      </c>
      <c r="AB3" s="2"/>
      <c r="AC3" s="2"/>
      <c r="AD3" s="2"/>
      <c r="AE3" s="4">
        <f>C13</f>
        <v>0</v>
      </c>
      <c r="AF3" s="2" t="s">
        <v>2</v>
      </c>
      <c r="AG3" s="2"/>
      <c r="AH3" s="2"/>
      <c r="AI3" s="2"/>
    </row>
    <row r="4" spans="1:35" ht="12.75">
      <c r="A4" s="2"/>
      <c r="B4" s="2"/>
      <c r="C4" s="2"/>
      <c r="D4" s="2"/>
      <c r="E4" s="2"/>
      <c r="F4" s="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 t="s">
        <v>4</v>
      </c>
      <c r="S4" s="58"/>
      <c r="T4" s="2"/>
      <c r="U4" s="2"/>
      <c r="V4" s="122">
        <f>'[1]Норматив и фактически 2017'!$K$156</f>
        <v>215</v>
      </c>
      <c r="W4" s="2" t="s">
        <v>2</v>
      </c>
      <c r="X4" s="2"/>
      <c r="Y4" s="5"/>
      <c r="Z4" s="2"/>
      <c r="AA4" s="2" t="s">
        <v>4</v>
      </c>
      <c r="AB4" s="2"/>
      <c r="AC4" s="2"/>
      <c r="AD4" s="2"/>
      <c r="AE4" s="4">
        <f>'[2]Норматив и фактически'!$K$130</f>
        <v>144</v>
      </c>
      <c r="AF4" s="2" t="s">
        <v>2</v>
      </c>
      <c r="AG4" s="2"/>
      <c r="AH4" s="2"/>
      <c r="AI4" s="2"/>
    </row>
    <row r="5" spans="1:35" ht="12.75">
      <c r="A5" s="2"/>
      <c r="B5" s="2" t="s">
        <v>5</v>
      </c>
      <c r="C5" s="2"/>
      <c r="D5" s="2"/>
      <c r="E5" s="2"/>
      <c r="F5" s="2"/>
      <c r="G5" s="58"/>
      <c r="H5" s="58"/>
      <c r="I5" s="58"/>
      <c r="J5" s="58"/>
      <c r="K5" s="64"/>
      <c r="L5" s="64"/>
      <c r="M5" s="65">
        <v>0.48</v>
      </c>
      <c r="N5" s="66"/>
      <c r="O5" s="220" t="s">
        <v>146</v>
      </c>
      <c r="P5" s="220"/>
      <c r="Q5" s="67"/>
      <c r="R5" s="58" t="s">
        <v>6</v>
      </c>
      <c r="S5" s="58"/>
      <c r="T5" s="2"/>
      <c r="U5" s="2"/>
      <c r="V5" s="121">
        <f>'[1]Норматив и фактически 2017'!$G$156</f>
        <v>751</v>
      </c>
      <c r="W5" s="2" t="s">
        <v>2</v>
      </c>
      <c r="X5" s="2"/>
      <c r="Y5" s="2"/>
      <c r="Z5" s="2"/>
      <c r="AA5" s="2" t="s">
        <v>6</v>
      </c>
      <c r="AB5" s="2"/>
      <c r="AC5" s="2"/>
      <c r="AD5" s="2"/>
      <c r="AE5" s="6">
        <v>450</v>
      </c>
      <c r="AF5" s="2" t="s">
        <v>2</v>
      </c>
      <c r="AG5" s="2"/>
      <c r="AH5" s="2"/>
      <c r="AI5" s="2"/>
    </row>
    <row r="6" spans="1:24" ht="94.5" customHeight="1">
      <c r="A6" s="55" t="s">
        <v>7</v>
      </c>
      <c r="B6" s="175" t="s">
        <v>9</v>
      </c>
      <c r="C6" s="176"/>
      <c r="D6" s="56" t="s">
        <v>37</v>
      </c>
      <c r="E6" s="56" t="s">
        <v>105</v>
      </c>
      <c r="F6" s="56" t="s">
        <v>93</v>
      </c>
      <c r="G6" s="68" t="s">
        <v>119</v>
      </c>
      <c r="H6" s="68" t="s">
        <v>120</v>
      </c>
      <c r="I6" s="68" t="s">
        <v>115</v>
      </c>
      <c r="J6" s="68" t="s">
        <v>108</v>
      </c>
      <c r="K6" s="68" t="s">
        <v>107</v>
      </c>
      <c r="L6" s="68" t="s">
        <v>109</v>
      </c>
      <c r="M6" s="68" t="s">
        <v>110</v>
      </c>
      <c r="N6" s="68" t="s">
        <v>111</v>
      </c>
      <c r="O6" s="68" t="s">
        <v>112</v>
      </c>
      <c r="P6" s="68" t="s">
        <v>114</v>
      </c>
      <c r="Q6" s="68" t="s">
        <v>113</v>
      </c>
      <c r="R6" s="68" t="s">
        <v>116</v>
      </c>
      <c r="S6" s="68" t="s">
        <v>117</v>
      </c>
      <c r="T6" s="56" t="s">
        <v>118</v>
      </c>
      <c r="U6" s="56" t="s">
        <v>97</v>
      </c>
      <c r="V6" s="56" t="s">
        <v>98</v>
      </c>
      <c r="W6" s="56" t="s">
        <v>99</v>
      </c>
      <c r="X6" s="87" t="s">
        <v>122</v>
      </c>
    </row>
    <row r="7" spans="1:24" ht="23.25" customHeight="1">
      <c r="A7" s="6"/>
      <c r="B7" s="221" t="s">
        <v>87</v>
      </c>
      <c r="C7" s="222"/>
      <c r="D7" s="78">
        <f aca="true" t="shared" si="0" ref="D7:M7">SUM(D8:D9)</f>
        <v>5</v>
      </c>
      <c r="E7" s="88">
        <f t="shared" si="0"/>
        <v>85.688</v>
      </c>
      <c r="F7" s="88">
        <f t="shared" si="0"/>
        <v>81.98982390589865</v>
      </c>
      <c r="G7" s="88">
        <f t="shared" si="0"/>
        <v>34.34553723418094</v>
      </c>
      <c r="H7" s="88">
        <f t="shared" si="0"/>
        <v>47.644286671717694</v>
      </c>
      <c r="I7" s="76">
        <f t="shared" si="0"/>
        <v>51.9</v>
      </c>
      <c r="J7" s="76">
        <f t="shared" si="0"/>
        <v>30.8</v>
      </c>
      <c r="K7" s="76">
        <f t="shared" si="0"/>
        <v>21.1</v>
      </c>
      <c r="L7" s="76">
        <f t="shared" si="0"/>
        <v>7</v>
      </c>
      <c r="M7" s="76">
        <f t="shared" si="0"/>
        <v>1</v>
      </c>
      <c r="N7" s="74">
        <f>ROUND(L7/J7*10,2)</f>
        <v>2.27</v>
      </c>
      <c r="O7" s="74">
        <f>ROUND(M7/K7*10,2)</f>
        <v>0.47</v>
      </c>
      <c r="P7" s="76">
        <f aca="true" t="shared" si="1" ref="P7:P47">ROUND(N7*$M$5,1)</f>
        <v>1.1</v>
      </c>
      <c r="Q7" s="74">
        <f>ROUND(O7*$M$5,2)</f>
        <v>0.23</v>
      </c>
      <c r="R7" s="78">
        <f aca="true" t="shared" si="2" ref="R7:W7">SUM(R8:R9)</f>
        <v>39</v>
      </c>
      <c r="S7" s="78">
        <f t="shared" si="2"/>
        <v>8</v>
      </c>
      <c r="T7" s="78">
        <f t="shared" si="2"/>
        <v>47</v>
      </c>
      <c r="U7" s="78">
        <f t="shared" si="2"/>
        <v>0</v>
      </c>
      <c r="V7" s="78">
        <f t="shared" si="2"/>
        <v>13</v>
      </c>
      <c r="W7" s="78">
        <f t="shared" si="2"/>
        <v>0</v>
      </c>
      <c r="X7" s="48">
        <f>T7/F7</f>
        <v>0.5732418702831078</v>
      </c>
    </row>
    <row r="8" spans="1:30" ht="20.25" customHeight="1">
      <c r="A8" s="28">
        <v>1</v>
      </c>
      <c r="B8" s="45" t="s">
        <v>82</v>
      </c>
      <c r="C8" s="44"/>
      <c r="D8" s="78">
        <f>'[1]А-4'!$F$10</f>
        <v>2</v>
      </c>
      <c r="E8" s="95">
        <f>'[1]Норматив и фактически 2017'!$F$12</f>
        <v>47.5</v>
      </c>
      <c r="F8" s="96">
        <f>E8*$Y$10</f>
        <v>45.44996540390936</v>
      </c>
      <c r="G8" s="70">
        <f>F8*0.4189</f>
        <v>19.03899050769763</v>
      </c>
      <c r="H8" s="70">
        <f>F8*0.5811</f>
        <v>26.410974896211727</v>
      </c>
      <c r="I8" s="69">
        <f>J8+K8</f>
        <v>20</v>
      </c>
      <c r="J8" s="19">
        <f>'[1]А-4'!$G$10</f>
        <v>11.5</v>
      </c>
      <c r="K8" s="19">
        <f>'[1]А-4'!$H$10</f>
        <v>8.5</v>
      </c>
      <c r="L8" s="22">
        <f>'[1]А-4'!$T$10</f>
        <v>3</v>
      </c>
      <c r="M8" s="22">
        <f>'[1]А-4'!$AF$10</f>
        <v>0</v>
      </c>
      <c r="N8" s="22">
        <f>L8*10/J8</f>
        <v>2.608695652173913</v>
      </c>
      <c r="O8" s="98">
        <f>ROUND(M8/K8*10,2)</f>
        <v>0</v>
      </c>
      <c r="P8" s="104">
        <f t="shared" si="1"/>
        <v>1.3</v>
      </c>
      <c r="Q8" s="98">
        <f>ROUND(O8*$M$5,2)</f>
        <v>0</v>
      </c>
      <c r="R8" s="22">
        <f>ROUNDDOWN((P8*G8),0)</f>
        <v>24</v>
      </c>
      <c r="S8" s="22">
        <f>ROUNDDOWN((Q8*H8),0)</f>
        <v>0</v>
      </c>
      <c r="T8" s="16">
        <f>R8+S8</f>
        <v>24</v>
      </c>
      <c r="U8" s="24">
        <f>ROUNDDOWN(IF(T8&lt;$O$3,"0",T8*35/100),0)</f>
        <v>0</v>
      </c>
      <c r="V8" s="9">
        <v>13</v>
      </c>
      <c r="W8" s="24">
        <f>IF(V8&lt;=U8,V8,U8)</f>
        <v>0</v>
      </c>
      <c r="X8" s="48">
        <f>T8/F8</f>
        <v>0.5280532072294086</v>
      </c>
      <c r="AD8">
        <f>Q10*S10</f>
        <v>3929.5</v>
      </c>
    </row>
    <row r="9" spans="1:24" ht="20.25" customHeight="1">
      <c r="A9" s="28">
        <v>2</v>
      </c>
      <c r="B9" s="101" t="s">
        <v>132</v>
      </c>
      <c r="C9" s="102"/>
      <c r="D9" s="78">
        <f>'[1]А-4'!$F$11</f>
        <v>3</v>
      </c>
      <c r="E9" s="95">
        <f>'[1]Норматив и фактически 2017'!$F$13</f>
        <v>38.188</v>
      </c>
      <c r="F9" s="96">
        <f>E9*$Y$10</f>
        <v>36.53985850198928</v>
      </c>
      <c r="G9" s="70">
        <f>F9*0.4189</f>
        <v>15.306546726483308</v>
      </c>
      <c r="H9" s="70">
        <f>F9*0.5811</f>
        <v>21.233311775505967</v>
      </c>
      <c r="I9" s="69">
        <f>J9+K9</f>
        <v>31.9</v>
      </c>
      <c r="J9" s="19">
        <f>'[1]А-4'!$G$11</f>
        <v>19.3</v>
      </c>
      <c r="K9" s="26">
        <f>'[1]А-4'!$H$11</f>
        <v>12.6</v>
      </c>
      <c r="L9" s="22">
        <f>'[1]А-4'!$T$11</f>
        <v>4</v>
      </c>
      <c r="M9" s="22">
        <f>'[1]А-4'!$AF$11</f>
        <v>1</v>
      </c>
      <c r="N9" s="22">
        <f>L9*10/J9</f>
        <v>2.0725388601036268</v>
      </c>
      <c r="O9" s="98">
        <f>ROUND(M9/K9*10,2)</f>
        <v>0.79</v>
      </c>
      <c r="P9" s="104">
        <f t="shared" si="1"/>
        <v>1</v>
      </c>
      <c r="Q9" s="98">
        <f>ROUND(O9*$M$5,2)</f>
        <v>0.38</v>
      </c>
      <c r="R9" s="22">
        <f>ROUNDDOWN((P9*G9),0)</f>
        <v>15</v>
      </c>
      <c r="S9" s="22">
        <f>ROUNDDOWN((Q9*H9),0)</f>
        <v>8</v>
      </c>
      <c r="T9" s="16">
        <f>R9+S9</f>
        <v>23</v>
      </c>
      <c r="U9" s="24">
        <f>ROUNDDOWN(IF(T9&lt;$O$3,"0",T9*35/100),0)</f>
        <v>0</v>
      </c>
      <c r="V9" s="9"/>
      <c r="W9" s="24">
        <f>IF(V9&lt;=U9,V9,U9)</f>
        <v>0</v>
      </c>
      <c r="X9" s="48">
        <f>T9/F9</f>
        <v>0.6294496186608891</v>
      </c>
    </row>
    <row r="10" spans="1:30" ht="29.25" customHeight="1">
      <c r="A10" s="28"/>
      <c r="B10" s="213" t="s">
        <v>86</v>
      </c>
      <c r="C10" s="214"/>
      <c r="D10" s="78">
        <f>SUM(D11:D53)</f>
        <v>75</v>
      </c>
      <c r="E10" s="93">
        <f aca="true" t="shared" si="3" ref="E10:M10">SUM(E11:E47)</f>
        <v>6807.977000000001</v>
      </c>
      <c r="F10" s="88">
        <f t="shared" si="3"/>
        <v>6514.154086749697</v>
      </c>
      <c r="G10" s="88">
        <f t="shared" si="3"/>
        <v>2728.779146939448</v>
      </c>
      <c r="H10" s="88">
        <f t="shared" si="3"/>
        <v>3785.374939810249</v>
      </c>
      <c r="I10" s="74">
        <f t="shared" si="3"/>
        <v>775.4300000000002</v>
      </c>
      <c r="J10" s="74">
        <f t="shared" si="3"/>
        <v>527.4899999999999</v>
      </c>
      <c r="K10" s="74">
        <f t="shared" si="3"/>
        <v>247.94000000000003</v>
      </c>
      <c r="L10" s="74">
        <f t="shared" si="3"/>
        <v>209</v>
      </c>
      <c r="M10" s="74">
        <f t="shared" si="3"/>
        <v>75</v>
      </c>
      <c r="N10" s="74">
        <f>ROUND(L10/J10*10,2)</f>
        <v>3.96</v>
      </c>
      <c r="O10" s="74">
        <f>ROUND(M10/K10*10,2)</f>
        <v>3.02</v>
      </c>
      <c r="P10" s="76">
        <f t="shared" si="1"/>
        <v>1.9</v>
      </c>
      <c r="Q10" s="74">
        <f>ROUND(O10*$M$5,2)</f>
        <v>1.45</v>
      </c>
      <c r="R10" s="78">
        <f aca="true" t="shared" si="4" ref="R10:W10">SUM(R11:R47)</f>
        <v>3582</v>
      </c>
      <c r="S10" s="78">
        <f t="shared" si="4"/>
        <v>2710</v>
      </c>
      <c r="T10" s="78">
        <f t="shared" si="4"/>
        <v>6292</v>
      </c>
      <c r="U10" s="78">
        <f t="shared" si="4"/>
        <v>1853</v>
      </c>
      <c r="V10" s="78">
        <f t="shared" si="4"/>
        <v>948</v>
      </c>
      <c r="W10" s="78">
        <f t="shared" si="4"/>
        <v>1469</v>
      </c>
      <c r="X10" s="48">
        <f aca="true" t="shared" si="5" ref="X10:X47">T10/F10</f>
        <v>0.9658967098734161</v>
      </c>
      <c r="Y10" s="48">
        <f>AB10/AB11</f>
        <v>0.9568413769244075</v>
      </c>
      <c r="AB10">
        <v>5531.5</v>
      </c>
      <c r="AD10">
        <v>2473</v>
      </c>
    </row>
    <row r="11" spans="1:28" ht="17.25" customHeight="1">
      <c r="A11" s="28">
        <v>3</v>
      </c>
      <c r="B11" s="208" t="s">
        <v>79</v>
      </c>
      <c r="C11" s="209"/>
      <c r="D11" s="18">
        <f>'[1]А-4'!$F$13</f>
        <v>3</v>
      </c>
      <c r="E11" s="95">
        <f>'[1]Норматив и фактически 2017'!$F$16</f>
        <v>648.017</v>
      </c>
      <c r="F11" s="112">
        <f aca="true" t="shared" si="6" ref="F11:F47">E11*$Y$10</f>
        <v>620.0494785504238</v>
      </c>
      <c r="G11" s="70">
        <f aca="true" t="shared" si="7" ref="G11:G47">F11*0.4189</f>
        <v>259.73872656477255</v>
      </c>
      <c r="H11" s="70">
        <f aca="true" t="shared" si="8" ref="H11:H47">F11*0.5811</f>
        <v>360.3107519856513</v>
      </c>
      <c r="I11" s="26">
        <f aca="true" t="shared" si="9" ref="I11:I47">J11+K11</f>
        <v>30</v>
      </c>
      <c r="J11" s="14">
        <f>'[1]А-4'!$G$13</f>
        <v>21.6</v>
      </c>
      <c r="K11" s="26">
        <f>'[1]А-4'!$H$13</f>
        <v>8.4</v>
      </c>
      <c r="L11" s="26">
        <f>'[1]А-4'!$T$13</f>
        <v>4</v>
      </c>
      <c r="M11" s="26">
        <f>'[1]А-4'!$AF$13</f>
        <v>1</v>
      </c>
      <c r="N11" s="21">
        <f aca="true" t="shared" si="10" ref="N11:N47">L11*10/J11</f>
        <v>1.8518518518518516</v>
      </c>
      <c r="O11" s="21">
        <f aca="true" t="shared" si="11" ref="O11:O46">M11*10/K11</f>
        <v>1.1904761904761905</v>
      </c>
      <c r="P11" s="26">
        <f t="shared" si="1"/>
        <v>0.9</v>
      </c>
      <c r="Q11" s="26">
        <f aca="true" t="shared" si="12" ref="Q11:Q47">ROUND(O11*$M$5,1)</f>
        <v>0.6</v>
      </c>
      <c r="R11" s="22">
        <f aca="true" t="shared" si="13" ref="R11:R47">ROUNDDOWN((P11*G11),0)</f>
        <v>233</v>
      </c>
      <c r="S11" s="22">
        <f aca="true" t="shared" si="14" ref="S11:S47">ROUNDDOWN((Q11*H11),0)</f>
        <v>216</v>
      </c>
      <c r="T11" s="16">
        <f aca="true" t="shared" si="15" ref="T11:T47">R11+S11</f>
        <v>449</v>
      </c>
      <c r="U11" s="24">
        <f>ROUNDDOWN(IF(T11&lt;$O$3,"0",T11*35/100),0)</f>
        <v>157</v>
      </c>
      <c r="V11" s="9">
        <v>90</v>
      </c>
      <c r="W11" s="24">
        <f aca="true" t="shared" si="16" ref="W11:W47">IF(V11&lt;=U11,V11,U11)</f>
        <v>90</v>
      </c>
      <c r="X11" s="48">
        <f t="shared" si="5"/>
        <v>0.7241357593747033</v>
      </c>
      <c r="AB11">
        <v>5781</v>
      </c>
    </row>
    <row r="12" spans="1:24" ht="17.25" customHeight="1">
      <c r="A12" s="28">
        <f aca="true" t="shared" si="17" ref="A12:A53">A11+1</f>
        <v>4</v>
      </c>
      <c r="B12" s="208" t="s">
        <v>80</v>
      </c>
      <c r="C12" s="209"/>
      <c r="D12" s="18">
        <f>'[1]А-4'!$F$14</f>
        <v>1</v>
      </c>
      <c r="E12" s="95">
        <f>'[1]Норматив и фактически 2017'!$F$17</f>
        <v>566</v>
      </c>
      <c r="F12" s="112">
        <f t="shared" si="6"/>
        <v>541.5722193392146</v>
      </c>
      <c r="G12" s="70">
        <f t="shared" si="7"/>
        <v>226.864602681197</v>
      </c>
      <c r="H12" s="70">
        <f t="shared" si="8"/>
        <v>314.70761665801757</v>
      </c>
      <c r="I12" s="26">
        <f t="shared" si="9"/>
        <v>10</v>
      </c>
      <c r="J12" s="19">
        <f>'[1]А-4'!$G$14</f>
        <v>5.9</v>
      </c>
      <c r="K12" s="19">
        <f>'[1]А-4'!$H$14</f>
        <v>4.1</v>
      </c>
      <c r="L12" s="26">
        <f>'[1]А-4'!$T$14</f>
        <v>2</v>
      </c>
      <c r="M12" s="26">
        <f>'[1]А-4'!$AF$14</f>
        <v>0</v>
      </c>
      <c r="N12" s="21">
        <f t="shared" si="10"/>
        <v>3.389830508474576</v>
      </c>
      <c r="O12" s="21">
        <f t="shared" si="11"/>
        <v>0</v>
      </c>
      <c r="P12" s="26">
        <f t="shared" si="1"/>
        <v>1.6</v>
      </c>
      <c r="Q12" s="26">
        <f t="shared" si="12"/>
        <v>0</v>
      </c>
      <c r="R12" s="22">
        <f t="shared" si="13"/>
        <v>362</v>
      </c>
      <c r="S12" s="22">
        <f t="shared" si="14"/>
        <v>0</v>
      </c>
      <c r="T12" s="16">
        <f t="shared" si="15"/>
        <v>362</v>
      </c>
      <c r="U12" s="24">
        <f aca="true" t="shared" si="18" ref="U12:U47">ROUNDDOWN(IF(T12&lt;$O$3,"0",T12*35/100),0)</f>
        <v>126</v>
      </c>
      <c r="V12" s="9">
        <v>95</v>
      </c>
      <c r="W12" s="24">
        <f t="shared" si="16"/>
        <v>95</v>
      </c>
      <c r="X12" s="48">
        <f t="shared" si="5"/>
        <v>0.6684242416305715</v>
      </c>
    </row>
    <row r="13" spans="1:30" ht="12.75" customHeight="1">
      <c r="A13" s="28">
        <f t="shared" si="17"/>
        <v>5</v>
      </c>
      <c r="B13" s="208" t="s">
        <v>81</v>
      </c>
      <c r="C13" s="209"/>
      <c r="D13" s="18">
        <f>'[1]А-4'!$F$15</f>
        <v>2</v>
      </c>
      <c r="E13" s="95">
        <f>'[1]Норматив и фактически 2017'!$F$18</f>
        <v>144</v>
      </c>
      <c r="F13" s="112">
        <f t="shared" si="6"/>
        <v>137.78515827711468</v>
      </c>
      <c r="G13" s="70">
        <f t="shared" si="7"/>
        <v>57.718202802283336</v>
      </c>
      <c r="H13" s="70">
        <f t="shared" si="8"/>
        <v>80.06695547483133</v>
      </c>
      <c r="I13" s="26">
        <f t="shared" si="9"/>
        <v>20</v>
      </c>
      <c r="J13" s="19">
        <f>'[1]А-4'!$G$15</f>
        <v>17.1</v>
      </c>
      <c r="K13" s="19">
        <f>'[1]А-4'!$H$15</f>
        <v>2.9000000000000004</v>
      </c>
      <c r="L13" s="26">
        <f>'[1]А-4'!$T$15</f>
        <v>3</v>
      </c>
      <c r="M13" s="26">
        <f>'[1]А-4'!$AF$15</f>
        <v>0</v>
      </c>
      <c r="N13" s="21">
        <f t="shared" si="10"/>
        <v>1.7543859649122806</v>
      </c>
      <c r="O13" s="21">
        <f t="shared" si="11"/>
        <v>0</v>
      </c>
      <c r="P13" s="26">
        <f t="shared" si="1"/>
        <v>0.8</v>
      </c>
      <c r="Q13" s="26">
        <f t="shared" si="12"/>
        <v>0</v>
      </c>
      <c r="R13" s="22">
        <f t="shared" si="13"/>
        <v>46</v>
      </c>
      <c r="S13" s="22">
        <f t="shared" si="14"/>
        <v>0</v>
      </c>
      <c r="T13" s="16">
        <f t="shared" si="15"/>
        <v>46</v>
      </c>
      <c r="U13" s="24">
        <f t="shared" si="18"/>
        <v>16</v>
      </c>
      <c r="V13" s="9">
        <v>50</v>
      </c>
      <c r="W13" s="24">
        <f t="shared" si="16"/>
        <v>16</v>
      </c>
      <c r="X13" s="48">
        <f t="shared" si="5"/>
        <v>0.3338530838530839</v>
      </c>
      <c r="AD13" s="20">
        <f>T10-AD10</f>
        <v>3819</v>
      </c>
    </row>
    <row r="14" spans="1:34" ht="15.75">
      <c r="A14" s="28">
        <f t="shared" si="17"/>
        <v>6</v>
      </c>
      <c r="B14" s="45" t="s">
        <v>83</v>
      </c>
      <c r="C14" s="44"/>
      <c r="D14" s="25">
        <f>'[1]А-4'!$F$17</f>
        <v>2</v>
      </c>
      <c r="E14" s="95">
        <f>'[1]Норматив и фактически 2017'!$F$19</f>
        <v>40</v>
      </c>
      <c r="F14" s="112">
        <f t="shared" si="6"/>
        <v>38.2736550769763</v>
      </c>
      <c r="G14" s="70">
        <f t="shared" si="7"/>
        <v>16.03283411174537</v>
      </c>
      <c r="H14" s="70">
        <f t="shared" si="8"/>
        <v>22.240820965230924</v>
      </c>
      <c r="I14" s="26">
        <f t="shared" si="9"/>
        <v>17.6</v>
      </c>
      <c r="J14" s="71">
        <f>'[1]А-4'!$G$17</f>
        <v>15</v>
      </c>
      <c r="K14" s="71">
        <f>'[1]А-4'!$H$17</f>
        <v>2.6</v>
      </c>
      <c r="L14" s="26">
        <f>'[1]А-4'!$T$17</f>
        <v>10</v>
      </c>
      <c r="M14" s="26">
        <f>'[1]А-4'!$AF$17</f>
        <v>3</v>
      </c>
      <c r="N14" s="21">
        <f t="shared" si="10"/>
        <v>6.666666666666667</v>
      </c>
      <c r="O14" s="21">
        <f t="shared" si="11"/>
        <v>11.538461538461538</v>
      </c>
      <c r="P14" s="26">
        <f t="shared" si="1"/>
        <v>3.2</v>
      </c>
      <c r="Q14" s="26">
        <f t="shared" si="12"/>
        <v>5.5</v>
      </c>
      <c r="R14" s="22">
        <f t="shared" si="13"/>
        <v>51</v>
      </c>
      <c r="S14" s="22">
        <f t="shared" si="14"/>
        <v>122</v>
      </c>
      <c r="T14" s="16">
        <f t="shared" si="15"/>
        <v>173</v>
      </c>
      <c r="U14" s="24">
        <f t="shared" si="18"/>
        <v>60</v>
      </c>
      <c r="V14" s="9">
        <v>34</v>
      </c>
      <c r="W14" s="24">
        <f t="shared" si="16"/>
        <v>34</v>
      </c>
      <c r="X14" s="48">
        <f t="shared" si="5"/>
        <v>4.520080448341319</v>
      </c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24" ht="15.75">
      <c r="A15" s="28">
        <f t="shared" si="17"/>
        <v>7</v>
      </c>
      <c r="B15" s="45" t="s">
        <v>84</v>
      </c>
      <c r="C15" s="44"/>
      <c r="D15" s="18">
        <f>'[1]А-4'!$F$18</f>
        <v>3</v>
      </c>
      <c r="E15" s="95">
        <f>'[1]Норматив и фактически 2017'!$F$20</f>
        <v>85</v>
      </c>
      <c r="F15" s="112">
        <f t="shared" si="6"/>
        <v>81.33151703857465</v>
      </c>
      <c r="G15" s="70">
        <f t="shared" si="7"/>
        <v>34.06977248745892</v>
      </c>
      <c r="H15" s="70">
        <f t="shared" si="8"/>
        <v>47.261744551115726</v>
      </c>
      <c r="I15" s="26">
        <f t="shared" si="9"/>
        <v>31.1</v>
      </c>
      <c r="J15" s="71">
        <f>'[1]А-4'!$G$18</f>
        <v>18.1</v>
      </c>
      <c r="K15" s="71">
        <f>'[1]А-4'!$H$18</f>
        <v>13</v>
      </c>
      <c r="L15" s="26">
        <f>'[1]А-4'!$T$18</f>
        <v>14</v>
      </c>
      <c r="M15" s="26">
        <f>'[1]А-4'!$AF$18</f>
        <v>5</v>
      </c>
      <c r="N15" s="21">
        <f t="shared" si="10"/>
        <v>7.734806629834254</v>
      </c>
      <c r="O15" s="21">
        <f t="shared" si="11"/>
        <v>3.8461538461538463</v>
      </c>
      <c r="P15" s="26">
        <f t="shared" si="1"/>
        <v>3.7</v>
      </c>
      <c r="Q15" s="26">
        <f t="shared" si="12"/>
        <v>1.8</v>
      </c>
      <c r="R15" s="22">
        <f t="shared" si="13"/>
        <v>126</v>
      </c>
      <c r="S15" s="22">
        <f t="shared" si="14"/>
        <v>85</v>
      </c>
      <c r="T15" s="16">
        <f t="shared" si="15"/>
        <v>211</v>
      </c>
      <c r="U15" s="24">
        <f t="shared" si="18"/>
        <v>73</v>
      </c>
      <c r="V15" s="9">
        <v>68</v>
      </c>
      <c r="W15" s="24">
        <f t="shared" si="16"/>
        <v>68</v>
      </c>
      <c r="X15" s="48">
        <f t="shared" si="5"/>
        <v>2.5943202301258568</v>
      </c>
    </row>
    <row r="16" spans="1:24" ht="12.75">
      <c r="A16" s="28">
        <f t="shared" si="17"/>
        <v>8</v>
      </c>
      <c r="B16" s="45" t="s">
        <v>85</v>
      </c>
      <c r="C16" s="45"/>
      <c r="D16" s="18">
        <f>'[1]А-4'!$F$19</f>
        <v>2</v>
      </c>
      <c r="E16" s="95">
        <f>'[1]Норматив и фактически 2017'!$F$21</f>
        <v>75.4</v>
      </c>
      <c r="F16" s="112">
        <f t="shared" si="6"/>
        <v>72.14583982010033</v>
      </c>
      <c r="G16" s="70">
        <f t="shared" si="7"/>
        <v>30.22189230064003</v>
      </c>
      <c r="H16" s="70">
        <f t="shared" si="8"/>
        <v>41.9239475194603</v>
      </c>
      <c r="I16" s="26">
        <f t="shared" si="9"/>
        <v>16.9</v>
      </c>
      <c r="J16" s="71">
        <f>'[1]А-4'!$G$19</f>
        <v>6.1</v>
      </c>
      <c r="K16" s="71">
        <f>'[1]А-4'!$H$19</f>
        <v>10.8</v>
      </c>
      <c r="L16" s="26">
        <f>'[1]А-4'!$T$19</f>
        <v>7</v>
      </c>
      <c r="M16" s="26">
        <f>'[1]А-4'!$AF$19</f>
        <v>4</v>
      </c>
      <c r="N16" s="21">
        <f t="shared" si="10"/>
        <v>11.475409836065575</v>
      </c>
      <c r="O16" s="21">
        <f t="shared" si="11"/>
        <v>3.7037037037037033</v>
      </c>
      <c r="P16" s="26">
        <f t="shared" si="1"/>
        <v>5.5</v>
      </c>
      <c r="Q16" s="26">
        <f t="shared" si="12"/>
        <v>1.8</v>
      </c>
      <c r="R16" s="22">
        <f t="shared" si="13"/>
        <v>166</v>
      </c>
      <c r="S16" s="22">
        <f t="shared" si="14"/>
        <v>75</v>
      </c>
      <c r="T16" s="16">
        <f t="shared" si="15"/>
        <v>241</v>
      </c>
      <c r="U16" s="24">
        <f t="shared" si="18"/>
        <v>84</v>
      </c>
      <c r="V16" s="9">
        <v>68</v>
      </c>
      <c r="W16" s="24">
        <f t="shared" si="16"/>
        <v>68</v>
      </c>
      <c r="X16" s="48">
        <f t="shared" si="5"/>
        <v>3.3404559514581424</v>
      </c>
    </row>
    <row r="17" spans="1:24" s="2" customFormat="1" ht="12.75">
      <c r="A17" s="28">
        <f t="shared" si="17"/>
        <v>9</v>
      </c>
      <c r="B17" s="215" t="s">
        <v>76</v>
      </c>
      <c r="C17" s="216"/>
      <c r="D17" s="18">
        <f>'[1]А-4'!$F$21</f>
        <v>3</v>
      </c>
      <c r="E17" s="95">
        <f>'[1]Норматив и фактически 2017'!$F$22</f>
        <v>136</v>
      </c>
      <c r="F17" s="112">
        <f t="shared" si="6"/>
        <v>130.13042726171943</v>
      </c>
      <c r="G17" s="70">
        <f t="shared" si="7"/>
        <v>54.51163597993427</v>
      </c>
      <c r="H17" s="70">
        <f t="shared" si="8"/>
        <v>75.61879128178515</v>
      </c>
      <c r="I17" s="26">
        <f t="shared" si="9"/>
        <v>35.1</v>
      </c>
      <c r="J17" s="19">
        <f>'[1]А-4'!$G$21</f>
        <v>23.200000000000003</v>
      </c>
      <c r="K17" s="19">
        <f>'[1]А-4'!$H$21</f>
        <v>11.9</v>
      </c>
      <c r="L17" s="26">
        <f>'[1]А-4'!$T$21</f>
        <v>9</v>
      </c>
      <c r="M17" s="26">
        <f>'[1]А-4'!$AF$21</f>
        <v>3</v>
      </c>
      <c r="N17" s="21">
        <f t="shared" si="10"/>
        <v>3.879310344827586</v>
      </c>
      <c r="O17" s="21">
        <f t="shared" si="11"/>
        <v>2.5210084033613445</v>
      </c>
      <c r="P17" s="26">
        <f t="shared" si="1"/>
        <v>1.9</v>
      </c>
      <c r="Q17" s="26">
        <f t="shared" si="12"/>
        <v>1.2</v>
      </c>
      <c r="R17" s="22">
        <f t="shared" si="13"/>
        <v>103</v>
      </c>
      <c r="S17" s="22">
        <f t="shared" si="14"/>
        <v>90</v>
      </c>
      <c r="T17" s="16">
        <f t="shared" si="15"/>
        <v>193</v>
      </c>
      <c r="U17" s="24">
        <f t="shared" si="18"/>
        <v>67</v>
      </c>
      <c r="V17" s="9">
        <v>20</v>
      </c>
      <c r="W17" s="24">
        <f t="shared" si="16"/>
        <v>20</v>
      </c>
      <c r="X17" s="48">
        <f t="shared" si="5"/>
        <v>1.483127382743751</v>
      </c>
    </row>
    <row r="18" spans="1:24" s="2" customFormat="1" ht="12.75">
      <c r="A18" s="28">
        <f t="shared" si="17"/>
        <v>10</v>
      </c>
      <c r="B18" s="46" t="s">
        <v>77</v>
      </c>
      <c r="C18" s="46"/>
      <c r="D18" s="18">
        <f>'[1]А-4'!$F$22</f>
        <v>0</v>
      </c>
      <c r="E18" s="95">
        <f>'[1]Норматив и фактически 2017'!$F$23</f>
        <v>113</v>
      </c>
      <c r="F18" s="112">
        <f t="shared" si="6"/>
        <v>108.12307559245805</v>
      </c>
      <c r="G18" s="70">
        <f t="shared" si="7"/>
        <v>45.292756365680674</v>
      </c>
      <c r="H18" s="70">
        <f t="shared" si="8"/>
        <v>62.83031922677737</v>
      </c>
      <c r="I18" s="26">
        <f t="shared" si="9"/>
        <v>0</v>
      </c>
      <c r="J18" s="19">
        <f>'[1]А-4'!$G$22</f>
        <v>0</v>
      </c>
      <c r="K18" s="19">
        <f>'[1]А-4'!$H$22</f>
        <v>0</v>
      </c>
      <c r="L18" s="26">
        <f>'[1]А-4'!$T$22</f>
        <v>0</v>
      </c>
      <c r="M18" s="26">
        <f>'[1]А-4'!$AF$22</f>
        <v>0</v>
      </c>
      <c r="N18" s="21"/>
      <c r="O18" s="21"/>
      <c r="P18" s="26">
        <f t="shared" si="1"/>
        <v>0</v>
      </c>
      <c r="Q18" s="26">
        <f t="shared" si="12"/>
        <v>0</v>
      </c>
      <c r="R18" s="22">
        <f t="shared" si="13"/>
        <v>0</v>
      </c>
      <c r="S18" s="22">
        <f t="shared" si="14"/>
        <v>0</v>
      </c>
      <c r="T18" s="16">
        <f t="shared" si="15"/>
        <v>0</v>
      </c>
      <c r="U18" s="24">
        <f t="shared" si="18"/>
        <v>0</v>
      </c>
      <c r="V18" s="23">
        <v>20</v>
      </c>
      <c r="W18" s="24">
        <f t="shared" si="16"/>
        <v>0</v>
      </c>
      <c r="X18" s="48">
        <f t="shared" si="5"/>
        <v>0</v>
      </c>
    </row>
    <row r="19" spans="1:24" ht="12.75">
      <c r="A19" s="28">
        <f t="shared" si="17"/>
        <v>11</v>
      </c>
      <c r="B19" s="46" t="s">
        <v>78</v>
      </c>
      <c r="C19" s="46"/>
      <c r="D19" s="18">
        <f>'[1]А-4'!$F$23</f>
        <v>1</v>
      </c>
      <c r="E19" s="95">
        <f>'[1]Норматив и фактически 2017'!$F$24</f>
        <v>205.097</v>
      </c>
      <c r="F19" s="112">
        <f t="shared" si="6"/>
        <v>196.2452958830652</v>
      </c>
      <c r="G19" s="70">
        <f t="shared" si="7"/>
        <v>82.20715444541601</v>
      </c>
      <c r="H19" s="70">
        <f t="shared" si="8"/>
        <v>114.03814143764919</v>
      </c>
      <c r="I19" s="26">
        <f t="shared" si="9"/>
        <v>11.34</v>
      </c>
      <c r="J19" s="19">
        <f>'[1]А-4'!$G$23</f>
        <v>11.34</v>
      </c>
      <c r="K19" s="19">
        <f>'[1]А-4'!$H$23</f>
        <v>0</v>
      </c>
      <c r="L19" s="26">
        <f>'[1]А-4'!$T$23</f>
        <v>4</v>
      </c>
      <c r="M19" s="26">
        <f>'[1]А-4'!$AF$23</f>
        <v>0</v>
      </c>
      <c r="N19" s="21">
        <f t="shared" si="10"/>
        <v>3.5273368606701943</v>
      </c>
      <c r="O19" s="21"/>
      <c r="P19" s="26">
        <f t="shared" si="1"/>
        <v>1.7</v>
      </c>
      <c r="Q19" s="26">
        <f t="shared" si="12"/>
        <v>0</v>
      </c>
      <c r="R19" s="22">
        <f t="shared" si="13"/>
        <v>139</v>
      </c>
      <c r="S19" s="22">
        <f t="shared" si="14"/>
        <v>0</v>
      </c>
      <c r="T19" s="16">
        <f t="shared" si="15"/>
        <v>139</v>
      </c>
      <c r="U19" s="24">
        <f t="shared" si="18"/>
        <v>48</v>
      </c>
      <c r="V19" s="23">
        <v>20</v>
      </c>
      <c r="W19" s="24">
        <f t="shared" si="16"/>
        <v>20</v>
      </c>
      <c r="X19" s="48">
        <f t="shared" si="5"/>
        <v>0.7082972326777432</v>
      </c>
    </row>
    <row r="20" spans="1:24" ht="12" customHeight="1">
      <c r="A20" s="28">
        <f t="shared" si="17"/>
        <v>12</v>
      </c>
      <c r="B20" s="80" t="s">
        <v>38</v>
      </c>
      <c r="C20" s="81"/>
      <c r="D20" s="18">
        <f>'[1]А-4'!$F$24</f>
        <v>0</v>
      </c>
      <c r="E20" s="95">
        <f>'[1]Норматив и фактически 2017'!$F$25</f>
        <v>116.6</v>
      </c>
      <c r="F20" s="112">
        <f t="shared" si="6"/>
        <v>111.56770454938591</v>
      </c>
      <c r="G20" s="70">
        <f t="shared" si="7"/>
        <v>46.735711435737755</v>
      </c>
      <c r="H20" s="70">
        <f t="shared" si="8"/>
        <v>64.83199311364814</v>
      </c>
      <c r="I20" s="26">
        <f t="shared" si="9"/>
        <v>0</v>
      </c>
      <c r="J20" s="19">
        <f>'[1]А-4'!$G$24</f>
        <v>0</v>
      </c>
      <c r="K20" s="19">
        <f>'[1]А-4'!$H$24</f>
        <v>0</v>
      </c>
      <c r="L20" s="26">
        <f>'[1]А-4'!$T$24</f>
        <v>0</v>
      </c>
      <c r="M20" s="26">
        <f>'[1]А-4'!$AF$24</f>
        <v>0</v>
      </c>
      <c r="N20" s="21"/>
      <c r="O20" s="21"/>
      <c r="P20" s="26">
        <f t="shared" si="1"/>
        <v>0</v>
      </c>
      <c r="Q20" s="26">
        <f t="shared" si="12"/>
        <v>0</v>
      </c>
      <c r="R20" s="22">
        <f t="shared" si="13"/>
        <v>0</v>
      </c>
      <c r="S20" s="22">
        <f t="shared" si="14"/>
        <v>0</v>
      </c>
      <c r="T20" s="16">
        <f t="shared" si="15"/>
        <v>0</v>
      </c>
      <c r="U20" s="24">
        <f t="shared" si="18"/>
        <v>0</v>
      </c>
      <c r="V20" s="9">
        <v>0</v>
      </c>
      <c r="W20" s="24">
        <f t="shared" si="16"/>
        <v>0</v>
      </c>
      <c r="X20" s="48">
        <f t="shared" si="5"/>
        <v>0</v>
      </c>
    </row>
    <row r="21" spans="1:24" s="27" customFormat="1" ht="12.75">
      <c r="A21" s="28">
        <f t="shared" si="17"/>
        <v>13</v>
      </c>
      <c r="B21" s="11" t="s">
        <v>10</v>
      </c>
      <c r="C21" s="7"/>
      <c r="D21" s="19">
        <f>'[1]А-4'!$F$25</f>
        <v>5</v>
      </c>
      <c r="E21" s="95">
        <f>'[1]Норматив и фактически 2017'!$F$26</f>
        <v>201.063</v>
      </c>
      <c r="F21" s="112">
        <f t="shared" si="6"/>
        <v>192.38539776855214</v>
      </c>
      <c r="G21" s="70">
        <f t="shared" si="7"/>
        <v>80.59024312524649</v>
      </c>
      <c r="H21" s="70">
        <f t="shared" si="8"/>
        <v>111.79515464330564</v>
      </c>
      <c r="I21" s="26">
        <f t="shared" si="9"/>
        <v>54.45</v>
      </c>
      <c r="J21" s="19">
        <f>'[1]А-4'!$G$25</f>
        <v>52.85</v>
      </c>
      <c r="K21" s="19">
        <f>'[1]А-4'!$H$25</f>
        <v>1.6</v>
      </c>
      <c r="L21" s="26">
        <f>'[1]А-4'!$T$25</f>
        <v>17</v>
      </c>
      <c r="M21" s="26">
        <f>'[1]А-4'!$AF$25</f>
        <v>1</v>
      </c>
      <c r="N21" s="21">
        <f t="shared" si="10"/>
        <v>3.216650898770104</v>
      </c>
      <c r="O21" s="21">
        <f t="shared" si="11"/>
        <v>6.25</v>
      </c>
      <c r="P21" s="26">
        <f t="shared" si="1"/>
        <v>1.5</v>
      </c>
      <c r="Q21" s="26">
        <f t="shared" si="12"/>
        <v>3</v>
      </c>
      <c r="R21" s="22">
        <f t="shared" si="13"/>
        <v>120</v>
      </c>
      <c r="S21" s="22">
        <f t="shared" si="14"/>
        <v>335</v>
      </c>
      <c r="T21" s="16">
        <f t="shared" si="15"/>
        <v>455</v>
      </c>
      <c r="U21" s="24">
        <f t="shared" si="18"/>
        <v>159</v>
      </c>
      <c r="V21" s="7">
        <v>145</v>
      </c>
      <c r="W21" s="24">
        <f t="shared" si="16"/>
        <v>145</v>
      </c>
      <c r="X21" s="48">
        <f t="shared" si="5"/>
        <v>2.3650443603177433</v>
      </c>
    </row>
    <row r="22" spans="1:24" ht="12.75">
      <c r="A22" s="28">
        <f t="shared" si="17"/>
        <v>14</v>
      </c>
      <c r="B22" s="12" t="s">
        <v>26</v>
      </c>
      <c r="C22" s="34"/>
      <c r="D22" s="19">
        <f>'[1]А-4'!$F$26</f>
        <v>3</v>
      </c>
      <c r="E22" s="95">
        <f>'[1]Норматив и фактически 2017'!$F$27</f>
        <v>67.361</v>
      </c>
      <c r="F22" s="112">
        <f t="shared" si="6"/>
        <v>64.45379199100502</v>
      </c>
      <c r="G22" s="70">
        <f t="shared" si="7"/>
        <v>26.999693465032003</v>
      </c>
      <c r="H22" s="70">
        <f t="shared" si="8"/>
        <v>37.454098525973016</v>
      </c>
      <c r="I22" s="26">
        <f t="shared" si="9"/>
        <v>32.4</v>
      </c>
      <c r="J22" s="19">
        <f>'[1]А-4'!$G$26</f>
        <v>26.199999999999996</v>
      </c>
      <c r="K22" s="19">
        <f>'[1]А-4'!$H$26</f>
        <v>6.2</v>
      </c>
      <c r="L22" s="26">
        <f>'[1]А-4'!$T$26</f>
        <v>10</v>
      </c>
      <c r="M22" s="26">
        <f>'[1]А-4'!$AF$26</f>
        <v>2</v>
      </c>
      <c r="N22" s="21">
        <f t="shared" si="10"/>
        <v>3.8167938931297716</v>
      </c>
      <c r="O22" s="21">
        <f t="shared" si="11"/>
        <v>3.225806451612903</v>
      </c>
      <c r="P22" s="26">
        <f t="shared" si="1"/>
        <v>1.8</v>
      </c>
      <c r="Q22" s="26">
        <f t="shared" si="12"/>
        <v>1.5</v>
      </c>
      <c r="R22" s="22">
        <f t="shared" si="13"/>
        <v>48</v>
      </c>
      <c r="S22" s="22">
        <f t="shared" si="14"/>
        <v>56</v>
      </c>
      <c r="T22" s="16">
        <f t="shared" si="15"/>
        <v>104</v>
      </c>
      <c r="U22" s="24">
        <f t="shared" si="18"/>
        <v>36</v>
      </c>
      <c r="V22" s="9">
        <v>53</v>
      </c>
      <c r="W22" s="24">
        <f t="shared" si="16"/>
        <v>36</v>
      </c>
      <c r="X22" s="48">
        <f t="shared" si="5"/>
        <v>1.613559059713879</v>
      </c>
    </row>
    <row r="23" spans="1:24" ht="12.75">
      <c r="A23" s="28">
        <f t="shared" si="17"/>
        <v>15</v>
      </c>
      <c r="B23" s="197" t="s">
        <v>55</v>
      </c>
      <c r="C23" s="198"/>
      <c r="D23" s="18">
        <f>'[1]А-4'!$F$27</f>
        <v>3</v>
      </c>
      <c r="E23" s="95">
        <f>'[1]Норматив и фактически 2017'!$F$28</f>
        <v>53.867</v>
      </c>
      <c r="F23" s="112">
        <f t="shared" si="6"/>
        <v>51.54217445078706</v>
      </c>
      <c r="G23" s="70">
        <f t="shared" si="7"/>
        <v>21.591016877434697</v>
      </c>
      <c r="H23" s="70">
        <f t="shared" si="8"/>
        <v>29.951157573352358</v>
      </c>
      <c r="I23" s="26">
        <f t="shared" si="9"/>
        <v>36.21000000000001</v>
      </c>
      <c r="J23" s="19">
        <f>'[1]А-4'!$G$27</f>
        <v>18.830000000000002</v>
      </c>
      <c r="K23" s="19">
        <f>'[1]А-4'!$H$27</f>
        <v>17.380000000000003</v>
      </c>
      <c r="L23" s="26">
        <f>'[1]А-4'!$T$27</f>
        <v>5</v>
      </c>
      <c r="M23" s="26">
        <f>'[1]А-4'!$AF$27</f>
        <v>13</v>
      </c>
      <c r="N23" s="21">
        <f t="shared" si="10"/>
        <v>2.6553372278279337</v>
      </c>
      <c r="O23" s="21">
        <f t="shared" si="11"/>
        <v>7.479861910241656</v>
      </c>
      <c r="P23" s="26">
        <f t="shared" si="1"/>
        <v>1.3</v>
      </c>
      <c r="Q23" s="26">
        <f t="shared" si="12"/>
        <v>3.6</v>
      </c>
      <c r="R23" s="22">
        <f t="shared" si="13"/>
        <v>28</v>
      </c>
      <c r="S23" s="22">
        <f t="shared" si="14"/>
        <v>107</v>
      </c>
      <c r="T23" s="16">
        <f t="shared" si="15"/>
        <v>135</v>
      </c>
      <c r="U23" s="24">
        <f t="shared" si="18"/>
        <v>47</v>
      </c>
      <c r="V23" s="9">
        <v>0</v>
      </c>
      <c r="W23" s="24">
        <f t="shared" si="16"/>
        <v>0</v>
      </c>
      <c r="X23" s="48">
        <f t="shared" si="5"/>
        <v>2.619214292732241</v>
      </c>
    </row>
    <row r="24" spans="1:24" ht="12.75">
      <c r="A24" s="28">
        <f t="shared" si="17"/>
        <v>16</v>
      </c>
      <c r="B24" s="211" t="s">
        <v>56</v>
      </c>
      <c r="C24" s="212"/>
      <c r="D24" s="18">
        <f>'[1]А-4'!$F$29</f>
        <v>2</v>
      </c>
      <c r="E24" s="95">
        <f>'[1]Норматив и фактически 2017'!$F$29</f>
        <v>100.78</v>
      </c>
      <c r="F24" s="112">
        <f t="shared" si="6"/>
        <v>96.4304739664418</v>
      </c>
      <c r="G24" s="70">
        <f t="shared" si="7"/>
        <v>40.39472554454247</v>
      </c>
      <c r="H24" s="70">
        <f t="shared" si="8"/>
        <v>56.03574842189932</v>
      </c>
      <c r="I24" s="26">
        <f t="shared" si="9"/>
        <v>21.09</v>
      </c>
      <c r="J24" s="19">
        <f>'[1]А-4'!$G$29</f>
        <v>7.79</v>
      </c>
      <c r="K24" s="19">
        <f>'[1]А-4'!$H$29</f>
        <v>13.3</v>
      </c>
      <c r="L24" s="26">
        <f>'[1]А-4'!$T$29</f>
        <v>7</v>
      </c>
      <c r="M24" s="26">
        <f>'[1]А-4'!$AF$29</f>
        <v>0</v>
      </c>
      <c r="N24" s="21">
        <f t="shared" si="10"/>
        <v>8.985879332477536</v>
      </c>
      <c r="O24" s="21">
        <f t="shared" si="11"/>
        <v>0</v>
      </c>
      <c r="P24" s="26">
        <f t="shared" si="1"/>
        <v>4.3</v>
      </c>
      <c r="Q24" s="26">
        <f t="shared" si="12"/>
        <v>0</v>
      </c>
      <c r="R24" s="22">
        <f t="shared" si="13"/>
        <v>173</v>
      </c>
      <c r="S24" s="22">
        <f t="shared" si="14"/>
        <v>0</v>
      </c>
      <c r="T24" s="16">
        <f t="shared" si="15"/>
        <v>173</v>
      </c>
      <c r="U24" s="24">
        <f t="shared" si="18"/>
        <v>60</v>
      </c>
      <c r="V24" s="9">
        <v>0</v>
      </c>
      <c r="W24" s="24">
        <f t="shared" si="16"/>
        <v>0</v>
      </c>
      <c r="X24" s="48">
        <f t="shared" si="5"/>
        <v>1.7940386776508506</v>
      </c>
    </row>
    <row r="25" spans="1:24" ht="12.75">
      <c r="A25" s="28">
        <f t="shared" si="17"/>
        <v>17</v>
      </c>
      <c r="B25" s="47" t="s">
        <v>59</v>
      </c>
      <c r="C25" s="47"/>
      <c r="D25" s="18">
        <f>'[1]А-4'!$F$28</f>
        <v>0</v>
      </c>
      <c r="E25" s="95">
        <f>'[1]Норматив и фактически 2017'!$F$30</f>
        <v>34.42</v>
      </c>
      <c r="F25" s="112">
        <f t="shared" si="6"/>
        <v>32.93448019373811</v>
      </c>
      <c r="G25" s="70">
        <f t="shared" si="7"/>
        <v>13.796253753156895</v>
      </c>
      <c r="H25" s="70">
        <f t="shared" si="8"/>
        <v>19.138226440581214</v>
      </c>
      <c r="I25" s="26">
        <f t="shared" si="9"/>
        <v>0</v>
      </c>
      <c r="J25" s="19">
        <f>'[1]А-4'!$G$28</f>
        <v>0</v>
      </c>
      <c r="K25" s="19">
        <f>'[1]А-4'!$H$28</f>
        <v>0</v>
      </c>
      <c r="L25" s="26">
        <f>'[1]А-4'!$T$28</f>
        <v>0</v>
      </c>
      <c r="M25" s="26">
        <f>'[1]А-4'!$AF$28</f>
        <v>0</v>
      </c>
      <c r="N25" s="21"/>
      <c r="O25" s="21"/>
      <c r="P25" s="26">
        <f t="shared" si="1"/>
        <v>0</v>
      </c>
      <c r="Q25" s="26">
        <f t="shared" si="12"/>
        <v>0</v>
      </c>
      <c r="R25" s="22">
        <f t="shared" si="13"/>
        <v>0</v>
      </c>
      <c r="S25" s="22">
        <f t="shared" si="14"/>
        <v>0</v>
      </c>
      <c r="T25" s="16">
        <f t="shared" si="15"/>
        <v>0</v>
      </c>
      <c r="U25" s="24">
        <f t="shared" si="18"/>
        <v>0</v>
      </c>
      <c r="V25" s="9"/>
      <c r="W25" s="24">
        <f t="shared" si="16"/>
        <v>0</v>
      </c>
      <c r="X25" s="48">
        <f t="shared" si="5"/>
        <v>0</v>
      </c>
    </row>
    <row r="26" spans="1:24" ht="12.75">
      <c r="A26" s="28">
        <f t="shared" si="17"/>
        <v>18</v>
      </c>
      <c r="B26" s="33" t="s">
        <v>11</v>
      </c>
      <c r="C26" s="34"/>
      <c r="D26" s="19">
        <f>'[1]А-4'!$F$34</f>
        <v>0</v>
      </c>
      <c r="E26" s="95">
        <f>'[1]Норматив и фактически 2017'!$F$31</f>
        <v>161.327</v>
      </c>
      <c r="F26" s="112">
        <f t="shared" si="6"/>
        <v>154.3643488150839</v>
      </c>
      <c r="G26" s="70">
        <f t="shared" si="7"/>
        <v>64.66322571863864</v>
      </c>
      <c r="H26" s="70">
        <f t="shared" si="8"/>
        <v>89.70112309644524</v>
      </c>
      <c r="I26" s="26">
        <f t="shared" si="9"/>
        <v>0</v>
      </c>
      <c r="J26" s="19">
        <f>'[1]А-4'!$G$34</f>
        <v>0</v>
      </c>
      <c r="K26" s="19">
        <f>'[1]А-4'!$H$34</f>
        <v>0</v>
      </c>
      <c r="L26" s="26">
        <f>'[1]А-4'!$T$34</f>
        <v>0</v>
      </c>
      <c r="M26" s="26">
        <f>'[1]А-4'!$AF$34</f>
        <v>0</v>
      </c>
      <c r="N26" s="21"/>
      <c r="O26" s="21"/>
      <c r="P26" s="26">
        <f t="shared" si="1"/>
        <v>0</v>
      </c>
      <c r="Q26" s="26">
        <f t="shared" si="12"/>
        <v>0</v>
      </c>
      <c r="R26" s="22">
        <f t="shared" si="13"/>
        <v>0</v>
      </c>
      <c r="S26" s="22">
        <f t="shared" si="14"/>
        <v>0</v>
      </c>
      <c r="T26" s="16">
        <f t="shared" si="15"/>
        <v>0</v>
      </c>
      <c r="U26" s="24">
        <f t="shared" si="18"/>
        <v>0</v>
      </c>
      <c r="V26" s="9">
        <v>0</v>
      </c>
      <c r="W26" s="24">
        <f t="shared" si="16"/>
        <v>0</v>
      </c>
      <c r="X26" s="48">
        <f t="shared" si="5"/>
        <v>0</v>
      </c>
    </row>
    <row r="27" spans="1:24" ht="12.75">
      <c r="A27" s="28">
        <f t="shared" si="17"/>
        <v>19</v>
      </c>
      <c r="B27" s="33" t="s">
        <v>12</v>
      </c>
      <c r="C27" s="34"/>
      <c r="D27" s="18">
        <f>'[1]А-4'!$F$35</f>
        <v>0</v>
      </c>
      <c r="E27" s="95">
        <f>'[1]Норматив и фактически 2017'!$F$32</f>
        <v>681</v>
      </c>
      <c r="F27" s="112">
        <f t="shared" si="6"/>
        <v>651.6089776855215</v>
      </c>
      <c r="G27" s="70">
        <f t="shared" si="7"/>
        <v>272.95900075246493</v>
      </c>
      <c r="H27" s="70">
        <f t="shared" si="8"/>
        <v>378.6499769330565</v>
      </c>
      <c r="I27" s="26">
        <f t="shared" si="9"/>
        <v>0</v>
      </c>
      <c r="J27" s="19">
        <f>'[1]А-4'!$G$35</f>
        <v>0</v>
      </c>
      <c r="K27" s="19">
        <f>'[1]А-4'!$H$35</f>
        <v>0</v>
      </c>
      <c r="L27" s="26">
        <f>'[1]А-4'!$T$35</f>
        <v>0</v>
      </c>
      <c r="M27" s="104">
        <f>'[1]А-4'!$AF$35</f>
        <v>0</v>
      </c>
      <c r="N27" s="21"/>
      <c r="O27" s="21"/>
      <c r="P27" s="26">
        <f t="shared" si="1"/>
        <v>0</v>
      </c>
      <c r="Q27" s="26">
        <f t="shared" si="12"/>
        <v>0</v>
      </c>
      <c r="R27" s="22">
        <f t="shared" si="13"/>
        <v>0</v>
      </c>
      <c r="S27" s="22">
        <f t="shared" si="14"/>
        <v>0</v>
      </c>
      <c r="T27" s="16">
        <f t="shared" si="15"/>
        <v>0</v>
      </c>
      <c r="U27" s="24">
        <f t="shared" si="18"/>
        <v>0</v>
      </c>
      <c r="V27" s="9">
        <v>0</v>
      </c>
      <c r="W27" s="24">
        <f t="shared" si="16"/>
        <v>0</v>
      </c>
      <c r="X27" s="48">
        <f t="shared" si="5"/>
        <v>0</v>
      </c>
    </row>
    <row r="28" spans="1:24" ht="12.75">
      <c r="A28" s="28">
        <f t="shared" si="17"/>
        <v>20</v>
      </c>
      <c r="B28" s="179" t="s">
        <v>14</v>
      </c>
      <c r="C28" s="180"/>
      <c r="D28" s="125">
        <f>'[1]А-4'!$F$49</f>
        <v>3</v>
      </c>
      <c r="E28" s="134">
        <f>'[1]Норматив и фактически 2017'!$F$33</f>
        <v>41.655</v>
      </c>
      <c r="F28" s="127">
        <f t="shared" si="6"/>
        <v>39.857227555786196</v>
      </c>
      <c r="G28" s="128">
        <f t="shared" si="7"/>
        <v>16.696192623118836</v>
      </c>
      <c r="H28" s="128">
        <f t="shared" si="8"/>
        <v>23.161034932667356</v>
      </c>
      <c r="I28" s="129">
        <f t="shared" si="9"/>
        <v>33.2</v>
      </c>
      <c r="J28" s="125">
        <f>'[1]А-4'!$G$49</f>
        <v>0</v>
      </c>
      <c r="K28" s="125">
        <f>'[1]А-4'!$H$49</f>
        <v>33.2</v>
      </c>
      <c r="L28" s="129">
        <f>'[1]А-4'!$T$49</f>
        <v>0</v>
      </c>
      <c r="M28" s="129">
        <f>'[1]А-4'!$AF$49</f>
        <v>0</v>
      </c>
      <c r="N28" s="130"/>
      <c r="O28" s="130">
        <f t="shared" si="11"/>
        <v>0</v>
      </c>
      <c r="P28" s="129">
        <f t="shared" si="1"/>
        <v>0</v>
      </c>
      <c r="Q28" s="129">
        <f t="shared" si="12"/>
        <v>0</v>
      </c>
      <c r="R28" s="131">
        <f t="shared" si="13"/>
        <v>0</v>
      </c>
      <c r="S28" s="131">
        <f t="shared" si="14"/>
        <v>0</v>
      </c>
      <c r="T28" s="131">
        <f t="shared" si="15"/>
        <v>0</v>
      </c>
      <c r="U28" s="132">
        <f t="shared" si="18"/>
        <v>0</v>
      </c>
      <c r="V28" s="133"/>
      <c r="W28" s="132">
        <f t="shared" si="16"/>
        <v>0</v>
      </c>
      <c r="X28" s="48">
        <f t="shared" si="5"/>
        <v>0</v>
      </c>
    </row>
    <row r="29" spans="1:24" ht="12.75">
      <c r="A29" s="28">
        <f t="shared" si="17"/>
        <v>21</v>
      </c>
      <c r="B29" s="33" t="s">
        <v>61</v>
      </c>
      <c r="C29" s="34"/>
      <c r="D29" s="19">
        <f>'[1]А-4'!$F$44</f>
        <v>3</v>
      </c>
      <c r="E29" s="95">
        <f>'[1]Норматив и фактически 2017'!$F$34</f>
        <v>237.32</v>
      </c>
      <c r="F29" s="112">
        <f t="shared" si="6"/>
        <v>227.07759557170039</v>
      </c>
      <c r="G29" s="70">
        <f t="shared" si="7"/>
        <v>95.12280478498529</v>
      </c>
      <c r="H29" s="70">
        <f t="shared" si="8"/>
        <v>131.95479078671508</v>
      </c>
      <c r="I29" s="26">
        <f t="shared" si="9"/>
        <v>33.5</v>
      </c>
      <c r="J29" s="19">
        <f>'[1]А-4'!$G$44</f>
        <v>19.599999999999998</v>
      </c>
      <c r="K29" s="19">
        <f>'[1]А-4'!$H$44</f>
        <v>13.899999999999999</v>
      </c>
      <c r="L29" s="26">
        <f>'[1]А-4'!$T$44</f>
        <v>11</v>
      </c>
      <c r="M29" s="26">
        <f>'[1]А-4'!$AF$44</f>
        <v>3</v>
      </c>
      <c r="N29" s="21">
        <f t="shared" si="10"/>
        <v>5.612244897959184</v>
      </c>
      <c r="O29" s="21">
        <f t="shared" si="11"/>
        <v>2.1582733812949644</v>
      </c>
      <c r="P29" s="26">
        <f t="shared" si="1"/>
        <v>2.7</v>
      </c>
      <c r="Q29" s="26">
        <f t="shared" si="12"/>
        <v>1</v>
      </c>
      <c r="R29" s="22">
        <f t="shared" si="13"/>
        <v>256</v>
      </c>
      <c r="S29" s="22">
        <f t="shared" si="14"/>
        <v>131</v>
      </c>
      <c r="T29" s="16">
        <f t="shared" si="15"/>
        <v>387</v>
      </c>
      <c r="U29" s="24">
        <f t="shared" si="18"/>
        <v>135</v>
      </c>
      <c r="V29" s="7"/>
      <c r="W29" s="24">
        <v>135</v>
      </c>
      <c r="X29" s="48">
        <f t="shared" si="5"/>
        <v>1.7042632454587694</v>
      </c>
    </row>
    <row r="30" spans="1:24" ht="12.75">
      <c r="A30" s="28">
        <f t="shared" si="17"/>
        <v>22</v>
      </c>
      <c r="B30" s="33" t="s">
        <v>124</v>
      </c>
      <c r="C30" s="34"/>
      <c r="D30" s="18">
        <f>'[1]А-4'!$F$46</f>
        <v>0</v>
      </c>
      <c r="E30" s="95">
        <f>'[1]Норматив и фактически 2017'!$F$35</f>
        <v>124.78</v>
      </c>
      <c r="F30" s="112">
        <f t="shared" si="6"/>
        <v>119.39466701262756</v>
      </c>
      <c r="G30" s="70">
        <f t="shared" si="7"/>
        <v>50.014426011589684</v>
      </c>
      <c r="H30" s="70">
        <f t="shared" si="8"/>
        <v>69.38024100103787</v>
      </c>
      <c r="I30" s="26">
        <f t="shared" si="9"/>
        <v>0</v>
      </c>
      <c r="J30" s="19">
        <f>'[1]А-4'!$G$46</f>
        <v>0</v>
      </c>
      <c r="K30" s="19">
        <f>'[1]А-4'!$H$46</f>
        <v>0</v>
      </c>
      <c r="L30" s="26">
        <f>'[1]А-4'!$T$46</f>
        <v>0</v>
      </c>
      <c r="M30" s="26">
        <f>'[1]А-4'!$AF$46</f>
        <v>0</v>
      </c>
      <c r="N30" s="21"/>
      <c r="O30" s="21"/>
      <c r="P30" s="26">
        <f t="shared" si="1"/>
        <v>0</v>
      </c>
      <c r="Q30" s="26">
        <f t="shared" si="12"/>
        <v>0</v>
      </c>
      <c r="R30" s="22">
        <f t="shared" si="13"/>
        <v>0</v>
      </c>
      <c r="S30" s="22">
        <f t="shared" si="14"/>
        <v>0</v>
      </c>
      <c r="T30" s="16">
        <f t="shared" si="15"/>
        <v>0</v>
      </c>
      <c r="U30" s="24">
        <f t="shared" si="18"/>
        <v>0</v>
      </c>
      <c r="V30" s="9">
        <v>0</v>
      </c>
      <c r="W30" s="24">
        <f t="shared" si="16"/>
        <v>0</v>
      </c>
      <c r="X30" s="48">
        <f t="shared" si="5"/>
        <v>0</v>
      </c>
    </row>
    <row r="31" spans="1:24" ht="12.75">
      <c r="A31" s="28">
        <f t="shared" si="17"/>
        <v>23</v>
      </c>
      <c r="B31" s="80" t="s">
        <v>25</v>
      </c>
      <c r="C31" s="82"/>
      <c r="D31" s="18">
        <f>'[1]А-4'!$F$30</f>
        <v>0</v>
      </c>
      <c r="E31" s="95">
        <f>'[1]Норматив и фактически 2017'!$F$36</f>
        <v>25.6365</v>
      </c>
      <c r="F31" s="112">
        <f t="shared" si="6"/>
        <v>24.530063959522575</v>
      </c>
      <c r="G31" s="70">
        <f t="shared" si="7"/>
        <v>10.275643792644006</v>
      </c>
      <c r="H31" s="70">
        <f t="shared" si="8"/>
        <v>14.254420166878567</v>
      </c>
      <c r="I31" s="26">
        <f t="shared" si="9"/>
        <v>0</v>
      </c>
      <c r="J31" s="19">
        <f>'[1]А-4'!$G$30</f>
        <v>0</v>
      </c>
      <c r="K31" s="19">
        <f>'[1]А-4'!$H$30</f>
        <v>0</v>
      </c>
      <c r="L31" s="26">
        <f>'[1]А-4'!$T$30</f>
        <v>0</v>
      </c>
      <c r="M31" s="26">
        <f>'[1]А-4'!$AF$30</f>
        <v>0</v>
      </c>
      <c r="N31" s="21"/>
      <c r="O31" s="21"/>
      <c r="P31" s="26">
        <f t="shared" si="1"/>
        <v>0</v>
      </c>
      <c r="Q31" s="26">
        <f t="shared" si="12"/>
        <v>0</v>
      </c>
      <c r="R31" s="22">
        <f t="shared" si="13"/>
        <v>0</v>
      </c>
      <c r="S31" s="22">
        <f t="shared" si="14"/>
        <v>0</v>
      </c>
      <c r="T31" s="16">
        <f t="shared" si="15"/>
        <v>0</v>
      </c>
      <c r="U31" s="24">
        <f t="shared" si="18"/>
        <v>0</v>
      </c>
      <c r="V31" s="9">
        <v>0</v>
      </c>
      <c r="W31" s="24">
        <f t="shared" si="16"/>
        <v>0</v>
      </c>
      <c r="X31" s="48">
        <f t="shared" si="5"/>
        <v>0</v>
      </c>
    </row>
    <row r="32" spans="1:24" s="27" customFormat="1" ht="14.25" customHeight="1">
      <c r="A32" s="28">
        <f t="shared" si="17"/>
        <v>24</v>
      </c>
      <c r="B32" s="33" t="s">
        <v>13</v>
      </c>
      <c r="C32" s="34"/>
      <c r="D32" s="19">
        <f>'[1]А-4'!$F$38</f>
        <v>4</v>
      </c>
      <c r="E32" s="95">
        <f>'[1]Норматив и фактически 2017'!$F$37</f>
        <v>240.043</v>
      </c>
      <c r="F32" s="112">
        <f t="shared" si="6"/>
        <v>229.68307464106556</v>
      </c>
      <c r="G32" s="70">
        <f t="shared" si="7"/>
        <v>96.21423996714236</v>
      </c>
      <c r="H32" s="70">
        <f t="shared" si="8"/>
        <v>133.4688346739232</v>
      </c>
      <c r="I32" s="26">
        <f t="shared" si="9"/>
        <v>39.3</v>
      </c>
      <c r="J32" s="19">
        <f>'[1]А-4'!$G$38</f>
        <v>29.3</v>
      </c>
      <c r="K32" s="19">
        <f>'[1]А-4'!$H$38</f>
        <v>10</v>
      </c>
      <c r="L32" s="26">
        <f>'[1]А-4'!$T$38</f>
        <v>9</v>
      </c>
      <c r="M32" s="26">
        <f>'[1]А-4'!$AF$38</f>
        <v>3</v>
      </c>
      <c r="N32" s="21">
        <f t="shared" si="10"/>
        <v>3.0716723549488054</v>
      </c>
      <c r="O32" s="21">
        <f t="shared" si="11"/>
        <v>3</v>
      </c>
      <c r="P32" s="26">
        <f t="shared" si="1"/>
        <v>1.5</v>
      </c>
      <c r="Q32" s="26">
        <f t="shared" si="12"/>
        <v>1.4</v>
      </c>
      <c r="R32" s="22">
        <f t="shared" si="13"/>
        <v>144</v>
      </c>
      <c r="S32" s="22">
        <f t="shared" si="14"/>
        <v>186</v>
      </c>
      <c r="T32" s="16">
        <f t="shared" si="15"/>
        <v>330</v>
      </c>
      <c r="U32" s="24">
        <f t="shared" si="18"/>
        <v>115</v>
      </c>
      <c r="V32" s="7">
        <v>115</v>
      </c>
      <c r="W32" s="24">
        <f t="shared" si="16"/>
        <v>115</v>
      </c>
      <c r="X32" s="48">
        <f t="shared" si="5"/>
        <v>1.4367623757897856</v>
      </c>
    </row>
    <row r="33" spans="1:24" ht="12.75" customHeight="1">
      <c r="A33" s="28">
        <f t="shared" si="17"/>
        <v>25</v>
      </c>
      <c r="B33" s="123" t="s">
        <v>15</v>
      </c>
      <c r="C33" s="124"/>
      <c r="D33" s="125">
        <f>'[1]А-4'!$F$50</f>
        <v>3</v>
      </c>
      <c r="E33" s="126">
        <f>'[1]Норматив и фактически 2017'!$F$38</f>
        <v>72.263</v>
      </c>
      <c r="F33" s="127">
        <f t="shared" si="6"/>
        <v>69.14422842068846</v>
      </c>
      <c r="G33" s="128">
        <f t="shared" si="7"/>
        <v>28.964517285426396</v>
      </c>
      <c r="H33" s="128">
        <f t="shared" si="8"/>
        <v>40.17971113526206</v>
      </c>
      <c r="I33" s="129">
        <f t="shared" si="9"/>
        <v>36.040000000000006</v>
      </c>
      <c r="J33" s="125">
        <f>'[1]А-4'!$G$50</f>
        <v>25.900000000000002</v>
      </c>
      <c r="K33" s="125">
        <f>'[1]А-4'!$H$50</f>
        <v>10.14</v>
      </c>
      <c r="L33" s="129">
        <f>'[1]А-4'!$T$50</f>
        <v>15</v>
      </c>
      <c r="M33" s="129">
        <f>'[1]А-4'!$AF$50</f>
        <v>7</v>
      </c>
      <c r="N33" s="130">
        <f t="shared" si="10"/>
        <v>5.791505791505791</v>
      </c>
      <c r="O33" s="130">
        <f t="shared" si="11"/>
        <v>6.903353057199211</v>
      </c>
      <c r="P33" s="129">
        <f t="shared" si="1"/>
        <v>2.8</v>
      </c>
      <c r="Q33" s="129">
        <f t="shared" si="12"/>
        <v>3.3</v>
      </c>
      <c r="R33" s="131">
        <f t="shared" si="13"/>
        <v>81</v>
      </c>
      <c r="S33" s="131">
        <f t="shared" si="14"/>
        <v>132</v>
      </c>
      <c r="T33" s="131">
        <f t="shared" si="15"/>
        <v>213</v>
      </c>
      <c r="U33" s="132">
        <v>0</v>
      </c>
      <c r="V33" s="133"/>
      <c r="W33" s="132">
        <f t="shared" si="16"/>
        <v>0</v>
      </c>
      <c r="X33" s="48">
        <f t="shared" si="5"/>
        <v>3.080517417940683</v>
      </c>
    </row>
    <row r="34" spans="1:24" ht="12.75">
      <c r="A34" s="28">
        <f t="shared" si="17"/>
        <v>26</v>
      </c>
      <c r="B34" s="36" t="s">
        <v>27</v>
      </c>
      <c r="C34" s="37"/>
      <c r="D34" s="19">
        <f>'[1]А-4'!$F$42</f>
        <v>3</v>
      </c>
      <c r="E34" s="95">
        <f>'[1]Норматив и фактически 2017'!$F$39</f>
        <v>48</v>
      </c>
      <c r="F34" s="112">
        <f t="shared" si="6"/>
        <v>45.92838609237156</v>
      </c>
      <c r="G34" s="70">
        <f t="shared" si="7"/>
        <v>19.239400934094448</v>
      </c>
      <c r="H34" s="70">
        <f t="shared" si="8"/>
        <v>26.688985158277113</v>
      </c>
      <c r="I34" s="26">
        <f t="shared" si="9"/>
        <v>30.3</v>
      </c>
      <c r="J34" s="19">
        <f>'[1]А-4'!$G$42</f>
        <v>26.7</v>
      </c>
      <c r="K34" s="19">
        <f>'[1]А-4'!$H$42</f>
        <v>3.6</v>
      </c>
      <c r="L34" s="26">
        <f>'[1]А-4'!$T$42</f>
        <v>11</v>
      </c>
      <c r="M34" s="26">
        <f>'[1]А-4'!$AF$42</f>
        <v>2</v>
      </c>
      <c r="N34" s="21">
        <f t="shared" si="10"/>
        <v>4.119850187265918</v>
      </c>
      <c r="O34" s="21">
        <f t="shared" si="11"/>
        <v>5.555555555555555</v>
      </c>
      <c r="P34" s="26">
        <f t="shared" si="1"/>
        <v>2</v>
      </c>
      <c r="Q34" s="26">
        <f t="shared" si="12"/>
        <v>2.7</v>
      </c>
      <c r="R34" s="22">
        <f t="shared" si="13"/>
        <v>38</v>
      </c>
      <c r="S34" s="22">
        <f t="shared" si="14"/>
        <v>72</v>
      </c>
      <c r="T34" s="16">
        <f t="shared" si="15"/>
        <v>110</v>
      </c>
      <c r="U34" s="24">
        <f t="shared" si="18"/>
        <v>38</v>
      </c>
      <c r="V34" s="7">
        <v>50</v>
      </c>
      <c r="W34" s="24">
        <f t="shared" si="16"/>
        <v>38</v>
      </c>
      <c r="X34" s="48">
        <f t="shared" si="5"/>
        <v>2.39503299285908</v>
      </c>
    </row>
    <row r="35" spans="1:24" s="27" customFormat="1" ht="12.75">
      <c r="A35" s="28">
        <f t="shared" si="17"/>
        <v>27</v>
      </c>
      <c r="B35" s="42" t="s">
        <v>125</v>
      </c>
      <c r="C35" s="43"/>
      <c r="D35" s="19">
        <f>'[1]А-4'!$F$43</f>
        <v>4</v>
      </c>
      <c r="E35" s="95">
        <f>'[1]Норматив и фактически 2017'!$F$40</f>
        <v>149.4</v>
      </c>
      <c r="F35" s="112">
        <f t="shared" si="6"/>
        <v>142.95210171250648</v>
      </c>
      <c r="G35" s="70">
        <f t="shared" si="7"/>
        <v>59.88263540736896</v>
      </c>
      <c r="H35" s="70">
        <f t="shared" si="8"/>
        <v>83.06946630513751</v>
      </c>
      <c r="I35" s="26">
        <f t="shared" si="9"/>
        <v>41.120000000000005</v>
      </c>
      <c r="J35" s="19">
        <f>'[1]А-4'!$G$43</f>
        <v>32.5</v>
      </c>
      <c r="K35" s="19">
        <f>'[1]А-4'!$H$43</f>
        <v>8.620000000000001</v>
      </c>
      <c r="L35" s="26">
        <f>'[1]А-4'!$T$43</f>
        <v>5</v>
      </c>
      <c r="M35" s="26">
        <f>'[1]А-4'!$AF$43</f>
        <v>5</v>
      </c>
      <c r="N35" s="21">
        <f t="shared" si="10"/>
        <v>1.5384615384615385</v>
      </c>
      <c r="O35" s="21">
        <f t="shared" si="11"/>
        <v>5.800464037122969</v>
      </c>
      <c r="P35" s="26">
        <f t="shared" si="1"/>
        <v>0.7</v>
      </c>
      <c r="Q35" s="26">
        <f t="shared" si="12"/>
        <v>2.8</v>
      </c>
      <c r="R35" s="22">
        <f t="shared" si="13"/>
        <v>41</v>
      </c>
      <c r="S35" s="22">
        <f t="shared" si="14"/>
        <v>232</v>
      </c>
      <c r="T35" s="16">
        <f t="shared" si="15"/>
        <v>273</v>
      </c>
      <c r="U35" s="24">
        <f t="shared" si="18"/>
        <v>95</v>
      </c>
      <c r="V35" s="9"/>
      <c r="W35" s="24">
        <v>95</v>
      </c>
      <c r="X35" s="48">
        <f t="shared" si="5"/>
        <v>1.9097305791910297</v>
      </c>
    </row>
    <row r="36" spans="1:24" ht="17.25" customHeight="1">
      <c r="A36" s="28">
        <f t="shared" si="17"/>
        <v>28</v>
      </c>
      <c r="B36" s="42" t="s">
        <v>60</v>
      </c>
      <c r="C36" s="43"/>
      <c r="D36" s="19">
        <f>'[1]А-4'!$F$37</f>
        <v>1</v>
      </c>
      <c r="E36" s="95">
        <f>'[1]Норматив и фактически 2017'!$F$41</f>
        <v>55.213</v>
      </c>
      <c r="F36" s="112">
        <f t="shared" si="6"/>
        <v>52.83008294412731</v>
      </c>
      <c r="G36" s="70">
        <f t="shared" si="7"/>
        <v>22.13052174529493</v>
      </c>
      <c r="H36" s="70">
        <f t="shared" si="8"/>
        <v>30.699561198832377</v>
      </c>
      <c r="I36" s="26">
        <f t="shared" si="9"/>
        <v>14</v>
      </c>
      <c r="J36" s="19">
        <f>'[1]А-4'!$G$37</f>
        <v>8</v>
      </c>
      <c r="K36" s="19">
        <f>'[1]А-4'!$H$37</f>
        <v>6</v>
      </c>
      <c r="L36" s="26">
        <f>'[1]А-4'!$T$37</f>
        <v>2</v>
      </c>
      <c r="M36" s="26">
        <f>'[1]А-4'!$AF$37</f>
        <v>0</v>
      </c>
      <c r="N36" s="21">
        <f t="shared" si="10"/>
        <v>2.5</v>
      </c>
      <c r="O36" s="21">
        <f t="shared" si="11"/>
        <v>0</v>
      </c>
      <c r="P36" s="26">
        <f t="shared" si="1"/>
        <v>1.2</v>
      </c>
      <c r="Q36" s="26">
        <f t="shared" si="12"/>
        <v>0</v>
      </c>
      <c r="R36" s="22">
        <f t="shared" si="13"/>
        <v>26</v>
      </c>
      <c r="S36" s="22">
        <f t="shared" si="14"/>
        <v>0</v>
      </c>
      <c r="T36" s="16">
        <f t="shared" si="15"/>
        <v>26</v>
      </c>
      <c r="U36" s="24">
        <f t="shared" si="18"/>
        <v>0</v>
      </c>
      <c r="V36" s="9">
        <v>0</v>
      </c>
      <c r="W36" s="24">
        <f t="shared" si="16"/>
        <v>0</v>
      </c>
      <c r="X36" s="48">
        <f t="shared" si="5"/>
        <v>0.4921438421267935</v>
      </c>
    </row>
    <row r="37" spans="1:24" ht="17.25" customHeight="1">
      <c r="A37" s="28">
        <f t="shared" si="17"/>
        <v>29</v>
      </c>
      <c r="B37" s="33" t="s">
        <v>95</v>
      </c>
      <c r="C37" s="34"/>
      <c r="D37" s="19">
        <f>'[1]А-4'!$F$40</f>
        <v>0</v>
      </c>
      <c r="E37" s="95">
        <f>'[1]Норматив и фактически 2017'!$F$42</f>
        <v>117.698</v>
      </c>
      <c r="F37" s="112">
        <f t="shared" si="6"/>
        <v>112.6183163812489</v>
      </c>
      <c r="G37" s="70">
        <f t="shared" si="7"/>
        <v>47.175812732105165</v>
      </c>
      <c r="H37" s="70">
        <f t="shared" si="8"/>
        <v>65.44250364914373</v>
      </c>
      <c r="I37" s="26">
        <f t="shared" si="9"/>
        <v>0</v>
      </c>
      <c r="J37" s="19">
        <f>'[1]А-4'!$G$40</f>
        <v>0</v>
      </c>
      <c r="K37" s="19">
        <f>'[1]А-4'!$H$40</f>
        <v>0</v>
      </c>
      <c r="L37" s="26">
        <f>'[1]А-4'!$T$40</f>
        <v>0</v>
      </c>
      <c r="M37" s="26">
        <f>'[1]А-4'!$AF$40</f>
        <v>0</v>
      </c>
      <c r="N37" s="21"/>
      <c r="O37" s="21"/>
      <c r="P37" s="26">
        <f t="shared" si="1"/>
        <v>0</v>
      </c>
      <c r="Q37" s="26">
        <f t="shared" si="12"/>
        <v>0</v>
      </c>
      <c r="R37" s="22">
        <f t="shared" si="13"/>
        <v>0</v>
      </c>
      <c r="S37" s="22">
        <f t="shared" si="14"/>
        <v>0</v>
      </c>
      <c r="T37" s="16">
        <f t="shared" si="15"/>
        <v>0</v>
      </c>
      <c r="U37" s="24">
        <f t="shared" si="18"/>
        <v>0</v>
      </c>
      <c r="V37" s="9">
        <v>20</v>
      </c>
      <c r="W37" s="24">
        <f t="shared" si="16"/>
        <v>0</v>
      </c>
      <c r="X37" s="48">
        <f t="shared" si="5"/>
        <v>0</v>
      </c>
    </row>
    <row r="38" spans="1:24" ht="12.75">
      <c r="A38" s="28">
        <f t="shared" si="17"/>
        <v>30</v>
      </c>
      <c r="B38" s="38" t="s">
        <v>94</v>
      </c>
      <c r="C38" s="34"/>
      <c r="D38" s="19">
        <f>'[1]А-4'!$F$39</f>
        <v>0</v>
      </c>
      <c r="E38" s="95">
        <f>'[1]Норматив и фактически 2017'!$F$43</f>
        <v>282.278</v>
      </c>
      <c r="F38" s="112">
        <f t="shared" si="6"/>
        <v>270.09527019546795</v>
      </c>
      <c r="G38" s="70">
        <f t="shared" si="7"/>
        <v>113.14290868488152</v>
      </c>
      <c r="H38" s="70">
        <f t="shared" si="8"/>
        <v>156.9523615105864</v>
      </c>
      <c r="I38" s="26">
        <f t="shared" si="9"/>
        <v>0</v>
      </c>
      <c r="J38" s="19">
        <f>'[1]А-4'!$G$39</f>
        <v>0</v>
      </c>
      <c r="K38" s="19">
        <f>'[1]А-4'!$H$39</f>
        <v>0</v>
      </c>
      <c r="L38" s="26">
        <f>'[1]А-4'!$T$39</f>
        <v>0</v>
      </c>
      <c r="M38" s="26">
        <f>'[1]А-4'!$AF$39</f>
        <v>0</v>
      </c>
      <c r="N38" s="21"/>
      <c r="O38" s="21"/>
      <c r="P38" s="26">
        <f t="shared" si="1"/>
        <v>0</v>
      </c>
      <c r="Q38" s="26">
        <f t="shared" si="12"/>
        <v>0</v>
      </c>
      <c r="R38" s="22">
        <f t="shared" si="13"/>
        <v>0</v>
      </c>
      <c r="S38" s="22">
        <f t="shared" si="14"/>
        <v>0</v>
      </c>
      <c r="T38" s="16">
        <f t="shared" si="15"/>
        <v>0</v>
      </c>
      <c r="U38" s="24">
        <f t="shared" si="18"/>
        <v>0</v>
      </c>
      <c r="V38" s="9">
        <v>20</v>
      </c>
      <c r="W38" s="24">
        <f t="shared" si="16"/>
        <v>0</v>
      </c>
      <c r="X38" s="48">
        <f t="shared" si="5"/>
        <v>0</v>
      </c>
    </row>
    <row r="39" spans="1:24" ht="12.75">
      <c r="A39" s="28">
        <f t="shared" si="17"/>
        <v>31</v>
      </c>
      <c r="B39" s="33" t="s">
        <v>28</v>
      </c>
      <c r="C39" s="34"/>
      <c r="D39" s="19">
        <f>'[1]А-4'!$F$41</f>
        <v>5</v>
      </c>
      <c r="E39" s="95">
        <f>'[1]Норматив и фактически 2017'!$F$44</f>
        <v>103</v>
      </c>
      <c r="F39" s="112">
        <f t="shared" si="6"/>
        <v>98.55466182321398</v>
      </c>
      <c r="G39" s="70">
        <f t="shared" si="7"/>
        <v>41.284547837744334</v>
      </c>
      <c r="H39" s="70">
        <f t="shared" si="8"/>
        <v>57.270113985469635</v>
      </c>
      <c r="I39" s="26">
        <f t="shared" si="9"/>
        <v>31.58</v>
      </c>
      <c r="J39" s="19">
        <f>'[1]А-4'!$G$41</f>
        <v>31.58</v>
      </c>
      <c r="K39" s="19">
        <f>'[1]А-4'!$H$41</f>
        <v>0</v>
      </c>
      <c r="L39" s="26">
        <f>'[1]А-4'!$T$41</f>
        <v>18</v>
      </c>
      <c r="M39" s="26">
        <f>'[1]А-4'!$AF$41</f>
        <v>0</v>
      </c>
      <c r="N39" s="21">
        <f t="shared" si="10"/>
        <v>5.699810006333123</v>
      </c>
      <c r="O39" s="21"/>
      <c r="P39" s="26">
        <f t="shared" si="1"/>
        <v>2.7</v>
      </c>
      <c r="Q39" s="26">
        <f t="shared" si="12"/>
        <v>0</v>
      </c>
      <c r="R39" s="22">
        <f t="shared" si="13"/>
        <v>111</v>
      </c>
      <c r="S39" s="22">
        <f t="shared" si="14"/>
        <v>0</v>
      </c>
      <c r="T39" s="16">
        <f t="shared" si="15"/>
        <v>111</v>
      </c>
      <c r="U39" s="24">
        <f t="shared" si="18"/>
        <v>38</v>
      </c>
      <c r="V39" s="7">
        <v>80</v>
      </c>
      <c r="W39" s="24">
        <f t="shared" si="16"/>
        <v>38</v>
      </c>
      <c r="X39" s="48">
        <f t="shared" si="5"/>
        <v>1.126278533623405</v>
      </c>
    </row>
    <row r="40" spans="1:24" s="27" customFormat="1" ht="21.75" customHeight="1">
      <c r="A40" s="28">
        <f t="shared" si="17"/>
        <v>32</v>
      </c>
      <c r="B40" s="33" t="s">
        <v>126</v>
      </c>
      <c r="C40" s="34"/>
      <c r="D40" s="19">
        <f>'[1]А-4'!$F$47</f>
        <v>3</v>
      </c>
      <c r="E40" s="95">
        <f>'[1]Норматив и фактически 2017'!$F$45</f>
        <v>207</v>
      </c>
      <c r="F40" s="112">
        <f t="shared" si="6"/>
        <v>198.06616502335237</v>
      </c>
      <c r="G40" s="70">
        <f t="shared" si="7"/>
        <v>82.96991652828231</v>
      </c>
      <c r="H40" s="70">
        <f t="shared" si="8"/>
        <v>115.09624849507006</v>
      </c>
      <c r="I40" s="26">
        <f t="shared" si="9"/>
        <v>23.6</v>
      </c>
      <c r="J40" s="19">
        <f>'[1]А-4'!$G$47</f>
        <v>23.6</v>
      </c>
      <c r="K40" s="19">
        <f>'[1]А-4'!$HG$47</f>
        <v>0</v>
      </c>
      <c r="L40" s="26">
        <f>'[1]А-4'!$T$47</f>
        <v>4</v>
      </c>
      <c r="M40" s="26">
        <f>'[1]А-4'!$AF$47</f>
        <v>0</v>
      </c>
      <c r="N40" s="21">
        <f t="shared" si="10"/>
        <v>1.694915254237288</v>
      </c>
      <c r="O40" s="21"/>
      <c r="P40" s="26">
        <f t="shared" si="1"/>
        <v>0.8</v>
      </c>
      <c r="Q40" s="26">
        <f t="shared" si="12"/>
        <v>0</v>
      </c>
      <c r="R40" s="22">
        <f t="shared" si="13"/>
        <v>66</v>
      </c>
      <c r="S40" s="22">
        <f t="shared" si="14"/>
        <v>0</v>
      </c>
      <c r="T40" s="16">
        <f t="shared" si="15"/>
        <v>66</v>
      </c>
      <c r="U40" s="24">
        <f t="shared" si="18"/>
        <v>23</v>
      </c>
      <c r="V40" s="7"/>
      <c r="W40" s="24">
        <v>23</v>
      </c>
      <c r="X40" s="48">
        <f t="shared" si="5"/>
        <v>0.3332219816151763</v>
      </c>
    </row>
    <row r="41" spans="1:24" s="27" customFormat="1" ht="21" customHeight="1">
      <c r="A41" s="28">
        <f t="shared" si="17"/>
        <v>33</v>
      </c>
      <c r="B41" s="42" t="s">
        <v>127</v>
      </c>
      <c r="C41" s="43"/>
      <c r="D41" s="19">
        <f>'[1]А-4'!$F$32</f>
        <v>3</v>
      </c>
      <c r="E41" s="95">
        <f>'[1]Норматив и фактически 2017'!$F$46</f>
        <v>317.5985</v>
      </c>
      <c r="F41" s="112">
        <f t="shared" si="6"/>
        <v>303.8913860491264</v>
      </c>
      <c r="G41" s="70">
        <f t="shared" si="7"/>
        <v>127.30010161597906</v>
      </c>
      <c r="H41" s="70">
        <f t="shared" si="8"/>
        <v>176.59128443314734</v>
      </c>
      <c r="I41" s="26">
        <f t="shared" si="9"/>
        <v>34</v>
      </c>
      <c r="J41" s="19">
        <f>'[1]А-4'!$G$32</f>
        <v>34</v>
      </c>
      <c r="K41" s="19">
        <f>'[1]А-4'!$H$32</f>
        <v>0</v>
      </c>
      <c r="L41" s="26">
        <f>'[1]А-4'!$T$32</f>
        <v>8</v>
      </c>
      <c r="M41" s="26">
        <f>'[1]А-4'!$AF$32</f>
        <v>0</v>
      </c>
      <c r="N41" s="21">
        <f t="shared" si="10"/>
        <v>2.3529411764705883</v>
      </c>
      <c r="O41" s="21"/>
      <c r="P41" s="26">
        <f t="shared" si="1"/>
        <v>1.1</v>
      </c>
      <c r="Q41" s="26">
        <f t="shared" si="12"/>
        <v>0</v>
      </c>
      <c r="R41" s="22">
        <f t="shared" si="13"/>
        <v>140</v>
      </c>
      <c r="S41" s="22">
        <f t="shared" si="14"/>
        <v>0</v>
      </c>
      <c r="T41" s="16">
        <f t="shared" si="15"/>
        <v>140</v>
      </c>
      <c r="U41" s="24">
        <f t="shared" si="18"/>
        <v>49</v>
      </c>
      <c r="V41" s="7"/>
      <c r="W41" s="24">
        <v>49</v>
      </c>
      <c r="X41" s="48">
        <f t="shared" si="5"/>
        <v>0.46069091269789364</v>
      </c>
    </row>
    <row r="42" spans="1:24" s="27" customFormat="1" ht="12.75">
      <c r="A42" s="28">
        <f t="shared" si="17"/>
        <v>34</v>
      </c>
      <c r="B42" s="33" t="s">
        <v>52</v>
      </c>
      <c r="C42" s="34"/>
      <c r="D42" s="19">
        <f>'[1]А-4'!$F$45</f>
        <v>3</v>
      </c>
      <c r="E42" s="95">
        <f>'[1]Норматив и фактически 2017'!$F$47</f>
        <v>166.5</v>
      </c>
      <c r="F42" s="112">
        <f t="shared" si="6"/>
        <v>159.31408925791385</v>
      </c>
      <c r="G42" s="70">
        <f t="shared" si="7"/>
        <v>66.73667199014011</v>
      </c>
      <c r="H42" s="70">
        <f t="shared" si="8"/>
        <v>92.57741726777373</v>
      </c>
      <c r="I42" s="26">
        <f t="shared" si="9"/>
        <v>31.199999999999996</v>
      </c>
      <c r="J42" s="19">
        <f>'[1]А-4'!$G$45</f>
        <v>16.9</v>
      </c>
      <c r="K42" s="19">
        <f>'[1]А-4'!$H$45</f>
        <v>14.299999999999999</v>
      </c>
      <c r="L42" s="26">
        <f>'[1]А-4'!$T$45</f>
        <v>8</v>
      </c>
      <c r="M42" s="26">
        <f>'[1]А-4'!$AF$45</f>
        <v>0</v>
      </c>
      <c r="N42" s="21">
        <f t="shared" si="10"/>
        <v>4.733727810650888</v>
      </c>
      <c r="O42" s="21">
        <f t="shared" si="11"/>
        <v>0</v>
      </c>
      <c r="P42" s="26">
        <f t="shared" si="1"/>
        <v>2.3</v>
      </c>
      <c r="Q42" s="26">
        <f t="shared" si="12"/>
        <v>0</v>
      </c>
      <c r="R42" s="22">
        <f t="shared" si="13"/>
        <v>153</v>
      </c>
      <c r="S42" s="22">
        <f t="shared" si="14"/>
        <v>0</v>
      </c>
      <c r="T42" s="16">
        <f t="shared" si="15"/>
        <v>153</v>
      </c>
      <c r="U42" s="24">
        <f t="shared" si="18"/>
        <v>53</v>
      </c>
      <c r="V42" s="7"/>
      <c r="W42" s="24">
        <v>53</v>
      </c>
      <c r="X42" s="48">
        <f t="shared" si="5"/>
        <v>0.9603670379228546</v>
      </c>
    </row>
    <row r="43" spans="1:24" s="27" customFormat="1" ht="12.75">
      <c r="A43" s="28">
        <f t="shared" si="17"/>
        <v>35</v>
      </c>
      <c r="B43" s="33" t="s">
        <v>62</v>
      </c>
      <c r="C43" s="34"/>
      <c r="D43" s="19">
        <f>'[1]А-4'!$F$51</f>
        <v>1</v>
      </c>
      <c r="E43" s="95">
        <f>'[1]Норматив и фактически 2017'!$F$48</f>
        <v>11.59</v>
      </c>
      <c r="F43" s="112">
        <f t="shared" si="6"/>
        <v>11.089791558553882</v>
      </c>
      <c r="G43" s="70">
        <f t="shared" si="7"/>
        <v>4.645513683878221</v>
      </c>
      <c r="H43" s="70">
        <f t="shared" si="8"/>
        <v>6.44427787467566</v>
      </c>
      <c r="I43" s="26">
        <f t="shared" si="9"/>
        <v>9.9</v>
      </c>
      <c r="J43" s="19">
        <f>'[1]А-4'!$G$51</f>
        <v>0</v>
      </c>
      <c r="K43" s="19">
        <f>'[1]А-4'!$H$51</f>
        <v>9.9</v>
      </c>
      <c r="L43" s="26">
        <f>'[1]А-4'!$T$51</f>
        <v>0</v>
      </c>
      <c r="M43" s="26">
        <f>'[1]А-4'!$AF$51</f>
        <v>0</v>
      </c>
      <c r="N43" s="21"/>
      <c r="O43" s="21">
        <f t="shared" si="11"/>
        <v>0</v>
      </c>
      <c r="P43" s="26">
        <f t="shared" si="1"/>
        <v>0</v>
      </c>
      <c r="Q43" s="26">
        <f t="shared" si="12"/>
        <v>0</v>
      </c>
      <c r="R43" s="22">
        <f t="shared" si="13"/>
        <v>0</v>
      </c>
      <c r="S43" s="22">
        <f t="shared" si="14"/>
        <v>0</v>
      </c>
      <c r="T43" s="16">
        <f t="shared" si="15"/>
        <v>0</v>
      </c>
      <c r="U43" s="24">
        <f t="shared" si="18"/>
        <v>0</v>
      </c>
      <c r="V43" s="7">
        <v>0</v>
      </c>
      <c r="W43" s="24">
        <f t="shared" si="16"/>
        <v>0</v>
      </c>
      <c r="X43" s="48">
        <f t="shared" si="5"/>
        <v>0</v>
      </c>
    </row>
    <row r="44" spans="1:24" s="27" customFormat="1" ht="12.75">
      <c r="A44" s="28">
        <f t="shared" si="17"/>
        <v>36</v>
      </c>
      <c r="B44" s="123" t="s">
        <v>35</v>
      </c>
      <c r="C44" s="124"/>
      <c r="D44" s="125">
        <f>'[1]А-4'!$F$48</f>
        <v>3</v>
      </c>
      <c r="E44" s="134">
        <f>'[1]Норматив и фактически 2017'!$F$49</f>
        <v>252.3</v>
      </c>
      <c r="F44" s="127">
        <f t="shared" si="6"/>
        <v>241.41107939802802</v>
      </c>
      <c r="G44" s="128">
        <f t="shared" si="7"/>
        <v>101.12710115983394</v>
      </c>
      <c r="H44" s="128">
        <f t="shared" si="8"/>
        <v>140.28397823819407</v>
      </c>
      <c r="I44" s="129">
        <f t="shared" si="9"/>
        <v>35.7</v>
      </c>
      <c r="J44" s="125">
        <f>'[1]А-4'!$G$48</f>
        <v>10.2</v>
      </c>
      <c r="K44" s="125">
        <f>'[1]А-4'!$H$48</f>
        <v>25.5</v>
      </c>
      <c r="L44" s="129">
        <f>'[1]А-4'!$T$48</f>
        <v>6</v>
      </c>
      <c r="M44" s="129">
        <f>'[1]А-4'!$AF$48</f>
        <v>17</v>
      </c>
      <c r="N44" s="130">
        <f t="shared" si="10"/>
        <v>5.882352941176471</v>
      </c>
      <c r="O44" s="130">
        <f t="shared" si="11"/>
        <v>6.666666666666667</v>
      </c>
      <c r="P44" s="129">
        <f t="shared" si="1"/>
        <v>2.8</v>
      </c>
      <c r="Q44" s="129">
        <f t="shared" si="12"/>
        <v>3.2</v>
      </c>
      <c r="R44" s="131">
        <f t="shared" si="13"/>
        <v>283</v>
      </c>
      <c r="S44" s="131">
        <f t="shared" si="14"/>
        <v>448</v>
      </c>
      <c r="T44" s="131">
        <f t="shared" si="15"/>
        <v>731</v>
      </c>
      <c r="U44" s="132">
        <v>0</v>
      </c>
      <c r="V44" s="133"/>
      <c r="W44" s="132">
        <f t="shared" si="16"/>
        <v>0</v>
      </c>
      <c r="X44" s="48">
        <f t="shared" si="5"/>
        <v>3.028030038317998</v>
      </c>
    </row>
    <row r="45" spans="1:24" ht="12.75" customHeight="1">
      <c r="A45" s="28">
        <f t="shared" si="17"/>
        <v>37</v>
      </c>
      <c r="B45" s="89" t="s">
        <v>130</v>
      </c>
      <c r="C45" s="97"/>
      <c r="D45" s="19">
        <f>'[1]А-4'!$F$36</f>
        <v>0</v>
      </c>
      <c r="E45" s="95">
        <f>'[1]Норматив и фактически 2017'!$F$50</f>
        <v>209.208</v>
      </c>
      <c r="F45" s="112">
        <f t="shared" si="6"/>
        <v>200.17887078360144</v>
      </c>
      <c r="G45" s="70">
        <f t="shared" si="7"/>
        <v>83.85492897125064</v>
      </c>
      <c r="H45" s="70">
        <f t="shared" si="8"/>
        <v>116.32394181235078</v>
      </c>
      <c r="I45" s="26">
        <f t="shared" si="9"/>
        <v>0</v>
      </c>
      <c r="J45" s="19">
        <f>'[1]А-4'!$G$36</f>
        <v>0</v>
      </c>
      <c r="K45" s="19">
        <f>'[1]А-4'!$H$36</f>
        <v>0</v>
      </c>
      <c r="L45" s="26">
        <f>'[1]А-4'!$T$36</f>
        <v>0</v>
      </c>
      <c r="M45" s="26">
        <f>'[1]А-4'!$AF$36</f>
        <v>0</v>
      </c>
      <c r="N45" s="21"/>
      <c r="O45" s="21"/>
      <c r="P45" s="26">
        <f t="shared" si="1"/>
        <v>0</v>
      </c>
      <c r="Q45" s="26">
        <f t="shared" si="12"/>
        <v>0</v>
      </c>
      <c r="R45" s="22">
        <f t="shared" si="13"/>
        <v>0</v>
      </c>
      <c r="S45" s="22">
        <f t="shared" si="14"/>
        <v>0</v>
      </c>
      <c r="T45" s="16">
        <f t="shared" si="15"/>
        <v>0</v>
      </c>
      <c r="U45" s="24">
        <f t="shared" si="18"/>
        <v>0</v>
      </c>
      <c r="V45" s="9"/>
      <c r="W45" s="24">
        <f t="shared" si="16"/>
        <v>0</v>
      </c>
      <c r="X45" s="48">
        <f t="shared" si="5"/>
        <v>0</v>
      </c>
    </row>
    <row r="46" spans="1:24" ht="12.75" customHeight="1">
      <c r="A46" s="28">
        <f t="shared" si="17"/>
        <v>38</v>
      </c>
      <c r="B46" s="181" t="s">
        <v>129</v>
      </c>
      <c r="C46" s="182"/>
      <c r="D46" s="19">
        <f>'[1]А-4'!$F$31</f>
        <v>4</v>
      </c>
      <c r="E46" s="95">
        <f>'[1]Норматив и фактически 2017'!$F$51</f>
        <v>544.149</v>
      </c>
      <c r="F46" s="112">
        <f t="shared" si="6"/>
        <v>520.6642784120394</v>
      </c>
      <c r="G46" s="70">
        <f t="shared" si="7"/>
        <v>218.10626622680329</v>
      </c>
      <c r="H46" s="70">
        <f t="shared" si="8"/>
        <v>302.55801218523607</v>
      </c>
      <c r="I46" s="26">
        <f t="shared" si="9"/>
        <v>44.9</v>
      </c>
      <c r="J46" s="19">
        <f>'[1]А-4'!$G$31</f>
        <v>24.3</v>
      </c>
      <c r="K46" s="19">
        <f>'[1]А-4'!$H$31</f>
        <v>20.599999999999998</v>
      </c>
      <c r="L46" s="26">
        <f>'[1]А-4'!$T$31</f>
        <v>12</v>
      </c>
      <c r="M46" s="26">
        <f>'[1]А-4'!$AF$31</f>
        <v>6</v>
      </c>
      <c r="N46" s="21">
        <f t="shared" si="10"/>
        <v>4.938271604938271</v>
      </c>
      <c r="O46" s="21">
        <f t="shared" si="11"/>
        <v>2.9126213592233015</v>
      </c>
      <c r="P46" s="26">
        <f t="shared" si="1"/>
        <v>2.4</v>
      </c>
      <c r="Q46" s="26">
        <f t="shared" si="12"/>
        <v>1.4</v>
      </c>
      <c r="R46" s="22">
        <f t="shared" si="13"/>
        <v>523</v>
      </c>
      <c r="S46" s="22">
        <f t="shared" si="14"/>
        <v>423</v>
      </c>
      <c r="T46" s="16">
        <f t="shared" si="15"/>
        <v>946</v>
      </c>
      <c r="U46" s="24">
        <f t="shared" si="18"/>
        <v>331</v>
      </c>
      <c r="V46" s="9"/>
      <c r="W46" s="24">
        <v>331</v>
      </c>
      <c r="X46" s="48">
        <f t="shared" si="5"/>
        <v>1.8169097424643401</v>
      </c>
    </row>
    <row r="47" spans="1:24" ht="12.75" customHeight="1">
      <c r="A47" s="28">
        <f t="shared" si="17"/>
        <v>39</v>
      </c>
      <c r="B47" s="206" t="s">
        <v>131</v>
      </c>
      <c r="C47" s="207"/>
      <c r="D47" s="19">
        <f>'[1]А-4'!$F$33</f>
        <v>2</v>
      </c>
      <c r="E47" s="95">
        <f>'[1]Норматив и фактически 2017'!$F$52</f>
        <v>173.413</v>
      </c>
      <c r="F47" s="112">
        <f t="shared" si="6"/>
        <v>165.9287336965923</v>
      </c>
      <c r="G47" s="70">
        <f t="shared" si="7"/>
        <v>69.50754654550252</v>
      </c>
      <c r="H47" s="70">
        <f t="shared" si="8"/>
        <v>96.42118715108978</v>
      </c>
      <c r="I47" s="26">
        <f t="shared" si="9"/>
        <v>20.9</v>
      </c>
      <c r="J47" s="19">
        <f>'[1]А-4'!$G$33</f>
        <v>20.9</v>
      </c>
      <c r="K47" s="19">
        <f>'[1]А-4'!$H$33</f>
        <v>0</v>
      </c>
      <c r="L47" s="26">
        <f>'[1]А-4'!$T$33</f>
        <v>8</v>
      </c>
      <c r="M47" s="26">
        <f>'[1]А-4'!$AF$33</f>
        <v>0</v>
      </c>
      <c r="N47" s="21">
        <f t="shared" si="10"/>
        <v>3.8277511961722492</v>
      </c>
      <c r="O47" s="21"/>
      <c r="P47" s="26">
        <f t="shared" si="1"/>
        <v>1.8</v>
      </c>
      <c r="Q47" s="26">
        <f t="shared" si="12"/>
        <v>0</v>
      </c>
      <c r="R47" s="22">
        <f t="shared" si="13"/>
        <v>125</v>
      </c>
      <c r="S47" s="22">
        <f t="shared" si="14"/>
        <v>0</v>
      </c>
      <c r="T47" s="16">
        <f t="shared" si="15"/>
        <v>125</v>
      </c>
      <c r="U47" s="24">
        <f t="shared" si="18"/>
        <v>43</v>
      </c>
      <c r="V47" s="9">
        <v>0</v>
      </c>
      <c r="W47" s="24">
        <f t="shared" si="16"/>
        <v>0</v>
      </c>
      <c r="X47" s="48">
        <f t="shared" si="5"/>
        <v>0.7533354664694047</v>
      </c>
    </row>
    <row r="48" spans="1:23" ht="12.75" customHeight="1">
      <c r="A48" s="28">
        <f t="shared" si="17"/>
        <v>40</v>
      </c>
      <c r="B48" s="217"/>
      <c r="C48" s="218"/>
      <c r="D48" s="9"/>
      <c r="E48" s="9"/>
      <c r="F48" s="10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9"/>
      <c r="U48" s="9"/>
      <c r="V48" s="9"/>
      <c r="W48" s="9"/>
    </row>
    <row r="49" spans="1:24" ht="12.75" customHeight="1">
      <c r="A49" s="28">
        <f t="shared" si="17"/>
        <v>41</v>
      </c>
      <c r="B49" s="89"/>
      <c r="C49" s="91"/>
      <c r="D49" s="19"/>
      <c r="E49" s="92"/>
      <c r="F49" s="112"/>
      <c r="G49" s="70"/>
      <c r="H49" s="70"/>
      <c r="I49" s="26"/>
      <c r="J49" s="19"/>
      <c r="K49" s="19"/>
      <c r="L49" s="26"/>
      <c r="M49" s="26"/>
      <c r="N49" s="21"/>
      <c r="O49" s="21"/>
      <c r="P49" s="26"/>
      <c r="Q49" s="26"/>
      <c r="R49" s="22"/>
      <c r="S49" s="22"/>
      <c r="T49" s="16"/>
      <c r="U49" s="24"/>
      <c r="V49" s="9"/>
      <c r="W49" s="24"/>
      <c r="X49" s="48"/>
    </row>
    <row r="50" spans="1:24" ht="12.75" customHeight="1">
      <c r="A50" s="28">
        <f t="shared" si="17"/>
        <v>42</v>
      </c>
      <c r="B50" s="89"/>
      <c r="C50" s="91"/>
      <c r="D50" s="19"/>
      <c r="E50" s="92"/>
      <c r="F50" s="112"/>
      <c r="G50" s="70"/>
      <c r="H50" s="70"/>
      <c r="I50" s="26"/>
      <c r="J50" s="19"/>
      <c r="K50" s="19"/>
      <c r="L50" s="26"/>
      <c r="M50" s="26"/>
      <c r="N50" s="21"/>
      <c r="O50" s="21"/>
      <c r="P50" s="26"/>
      <c r="Q50" s="26"/>
      <c r="R50" s="22"/>
      <c r="S50" s="22"/>
      <c r="T50" s="16"/>
      <c r="U50" s="24"/>
      <c r="V50" s="9"/>
      <c r="W50" s="24"/>
      <c r="X50" s="48"/>
    </row>
    <row r="51" spans="1:24" ht="12.75" customHeight="1">
      <c r="A51" s="28">
        <f t="shared" si="17"/>
        <v>43</v>
      </c>
      <c r="B51" s="89"/>
      <c r="C51" s="91"/>
      <c r="D51" s="19"/>
      <c r="E51" s="92"/>
      <c r="F51" s="112"/>
      <c r="G51" s="70"/>
      <c r="H51" s="70"/>
      <c r="I51" s="26"/>
      <c r="J51" s="19"/>
      <c r="K51" s="19"/>
      <c r="L51" s="26"/>
      <c r="M51" s="26"/>
      <c r="N51" s="21"/>
      <c r="O51" s="21"/>
      <c r="P51" s="26"/>
      <c r="Q51" s="26"/>
      <c r="R51" s="22"/>
      <c r="S51" s="22"/>
      <c r="T51" s="16"/>
      <c r="U51" s="24"/>
      <c r="V51" s="9"/>
      <c r="W51" s="24"/>
      <c r="X51" s="48"/>
    </row>
    <row r="52" spans="1:24" ht="12.75" customHeight="1">
      <c r="A52" s="28">
        <f t="shared" si="17"/>
        <v>44</v>
      </c>
      <c r="B52" s="89"/>
      <c r="C52" s="91"/>
      <c r="D52" s="19"/>
      <c r="E52" s="92"/>
      <c r="F52" s="112"/>
      <c r="G52" s="70"/>
      <c r="H52" s="70"/>
      <c r="I52" s="26"/>
      <c r="J52" s="19"/>
      <c r="K52" s="19"/>
      <c r="L52" s="26"/>
      <c r="M52" s="26"/>
      <c r="N52" s="21"/>
      <c r="O52" s="21"/>
      <c r="P52" s="26"/>
      <c r="Q52" s="26"/>
      <c r="R52" s="22"/>
      <c r="S52" s="22"/>
      <c r="T52" s="16"/>
      <c r="U52" s="24"/>
      <c r="V52" s="9"/>
      <c r="W52" s="24"/>
      <c r="X52" s="48"/>
    </row>
    <row r="53" spans="1:24" ht="12.75" customHeight="1">
      <c r="A53" s="28">
        <f t="shared" si="17"/>
        <v>45</v>
      </c>
      <c r="B53" s="89"/>
      <c r="C53" s="91"/>
      <c r="D53" s="19"/>
      <c r="E53" s="92"/>
      <c r="F53" s="112"/>
      <c r="G53" s="70"/>
      <c r="H53" s="70"/>
      <c r="I53" s="26"/>
      <c r="J53" s="19"/>
      <c r="K53" s="19"/>
      <c r="L53" s="26"/>
      <c r="M53" s="26"/>
      <c r="N53" s="21"/>
      <c r="O53" s="21"/>
      <c r="P53" s="26"/>
      <c r="Q53" s="26"/>
      <c r="R53" s="22"/>
      <c r="S53" s="22"/>
      <c r="T53" s="16"/>
      <c r="U53" s="24"/>
      <c r="V53" s="9"/>
      <c r="W53" s="24"/>
      <c r="X53" s="48"/>
    </row>
    <row r="54" spans="1:30" ht="27.75" customHeight="1">
      <c r="A54" s="9"/>
      <c r="B54" s="210" t="s">
        <v>88</v>
      </c>
      <c r="C54" s="178"/>
      <c r="D54" s="78">
        <f aca="true" t="shared" si="19" ref="D54:M54">SUM(D55:D65)</f>
        <v>72</v>
      </c>
      <c r="E54" s="74">
        <f t="shared" si="19"/>
        <v>6034.835000000001</v>
      </c>
      <c r="F54" s="74">
        <f t="shared" si="19"/>
        <v>3890.0276445787</v>
      </c>
      <c r="G54" s="78">
        <f t="shared" si="19"/>
        <v>3216.6638593021266</v>
      </c>
      <c r="H54" s="78">
        <f t="shared" si="19"/>
        <v>673.3637852765729</v>
      </c>
      <c r="I54" s="78">
        <f t="shared" si="19"/>
        <v>790.51</v>
      </c>
      <c r="J54" s="78">
        <f t="shared" si="19"/>
        <v>724.0999999999999</v>
      </c>
      <c r="K54" s="76">
        <f t="shared" si="19"/>
        <v>66.41</v>
      </c>
      <c r="L54" s="76">
        <f t="shared" si="19"/>
        <v>131</v>
      </c>
      <c r="M54" s="78">
        <f t="shared" si="19"/>
        <v>30</v>
      </c>
      <c r="N54" s="74">
        <f>ROUND(L54/J54*10,2)</f>
        <v>1.81</v>
      </c>
      <c r="O54" s="74">
        <f>ROUND(M54/K54*10,3)</f>
        <v>4.517</v>
      </c>
      <c r="P54" s="76">
        <f>ROUND(N54*$M$5,1)</f>
        <v>0.9</v>
      </c>
      <c r="Q54" s="76">
        <f>ROUND(O54*$M$5,1)</f>
        <v>2.2</v>
      </c>
      <c r="R54" s="78">
        <f aca="true" t="shared" si="20" ref="R54:W54">SUM(R55:R65)</f>
        <v>2679</v>
      </c>
      <c r="S54" s="78">
        <f t="shared" si="20"/>
        <v>1015</v>
      </c>
      <c r="T54" s="78">
        <f t="shared" si="20"/>
        <v>3694</v>
      </c>
      <c r="U54" s="78">
        <f t="shared" si="20"/>
        <v>1277</v>
      </c>
      <c r="V54" s="78">
        <f t="shared" si="20"/>
        <v>517</v>
      </c>
      <c r="W54" s="78">
        <f t="shared" si="20"/>
        <v>706</v>
      </c>
      <c r="X54" s="48">
        <f aca="true" t="shared" si="21" ref="X54:X62">T54/F54</f>
        <v>0.9496076474284464</v>
      </c>
      <c r="Y54">
        <v>0.644595526568448</v>
      </c>
      <c r="AB54">
        <v>2411</v>
      </c>
      <c r="AD54" s="20">
        <f>T54-AB54</f>
        <v>1283</v>
      </c>
    </row>
    <row r="55" spans="1:24" ht="12.75">
      <c r="A55" s="28">
        <v>46</v>
      </c>
      <c r="B55" s="80" t="s">
        <v>38</v>
      </c>
      <c r="C55" s="81"/>
      <c r="D55" s="18">
        <f>'[1]А-4'!$F$60</f>
        <v>0</v>
      </c>
      <c r="E55" s="92">
        <f>'[1]Норматив и фактически 2017'!$F$60</f>
        <v>45.173</v>
      </c>
      <c r="F55" s="112">
        <f aca="true" t="shared" si="22" ref="F55:F65">E55*$Y$54</f>
        <v>29.1183137216765</v>
      </c>
      <c r="G55" s="70">
        <f aca="true" t="shared" si="23" ref="G55:G65">F55*0.8269</f>
        <v>24.0779336164543</v>
      </c>
      <c r="H55" s="70">
        <f aca="true" t="shared" si="24" ref="H55:H65">F55*0.1731</f>
        <v>5.040380105222202</v>
      </c>
      <c r="I55" s="26">
        <f aca="true" t="shared" si="25" ref="I55:I65">J55+K55</f>
        <v>0</v>
      </c>
      <c r="J55" s="19">
        <f>'[1]А-4'!G60</f>
        <v>0</v>
      </c>
      <c r="K55" s="26">
        <v>0</v>
      </c>
      <c r="L55" s="26">
        <f>'[1]А-4'!$T$60</f>
        <v>0</v>
      </c>
      <c r="M55" s="26">
        <f>'[1]А-4'!$AF$60</f>
        <v>0</v>
      </c>
      <c r="N55" s="21"/>
      <c r="O55" s="21">
        <v>0</v>
      </c>
      <c r="P55" s="26"/>
      <c r="Q55" s="21">
        <f>ROUND(O55*$M$5,2)</f>
        <v>0</v>
      </c>
      <c r="R55" s="22">
        <f aca="true" t="shared" si="26" ref="R55:R65">ROUNDDOWN((P55*G55),0)</f>
        <v>0</v>
      </c>
      <c r="S55" s="22">
        <f aca="true" t="shared" si="27" ref="S55:S65">ROUNDDOWN((Q55*H55),0)</f>
        <v>0</v>
      </c>
      <c r="T55" s="16">
        <f aca="true" t="shared" si="28" ref="T55:T65">R55+S55</f>
        <v>0</v>
      </c>
      <c r="U55" s="24">
        <f>ROUNDDOWN(IF(T55&lt;$O$3,"0",T55*35/100),0)</f>
        <v>0</v>
      </c>
      <c r="V55" s="9">
        <v>0</v>
      </c>
      <c r="W55" s="24">
        <v>0</v>
      </c>
      <c r="X55" s="48">
        <f t="shared" si="21"/>
        <v>0</v>
      </c>
    </row>
    <row r="56" spans="1:28" ht="12.75">
      <c r="A56" s="28">
        <v>47</v>
      </c>
      <c r="B56" s="8" t="s">
        <v>16</v>
      </c>
      <c r="C56" s="9"/>
      <c r="D56" s="18">
        <f>'[1]А-4'!$F$61</f>
        <v>4</v>
      </c>
      <c r="E56" s="92">
        <f>'[1]Норматив и фактически 2017'!$F$61</f>
        <v>309.7</v>
      </c>
      <c r="F56" s="112">
        <f t="shared" si="22"/>
        <v>199.63123457824832</v>
      </c>
      <c r="G56" s="70">
        <f t="shared" si="23"/>
        <v>165.07506787275352</v>
      </c>
      <c r="H56" s="70">
        <f t="shared" si="24"/>
        <v>34.55616670549479</v>
      </c>
      <c r="I56" s="26">
        <f t="shared" si="25"/>
        <v>44.11</v>
      </c>
      <c r="J56" s="19">
        <f>'[1]А-4'!G61</f>
        <v>24.1</v>
      </c>
      <c r="K56" s="26">
        <f>'[1]А-4'!$H$61</f>
        <v>20.01</v>
      </c>
      <c r="L56" s="26">
        <f>'[1]А-4'!$T$61</f>
        <v>0</v>
      </c>
      <c r="M56" s="26">
        <f>'[1]А-4'!$AF$61</f>
        <v>3</v>
      </c>
      <c r="N56" s="21">
        <f aca="true" t="shared" si="29" ref="N56:N65">L56*10/J56</f>
        <v>0</v>
      </c>
      <c r="O56" s="21">
        <f aca="true" t="shared" si="30" ref="O56:O65">ROUND(M56/K56*10,3)</f>
        <v>1.499</v>
      </c>
      <c r="P56" s="26">
        <f aca="true" t="shared" si="31" ref="P56:P65">ROUND(N56*$M$5,1)</f>
        <v>0</v>
      </c>
      <c r="Q56" s="26">
        <f aca="true" t="shared" si="32" ref="Q56:Q65">ROUND(O56*$M$5,1)</f>
        <v>0.7</v>
      </c>
      <c r="R56" s="22">
        <f t="shared" si="26"/>
        <v>0</v>
      </c>
      <c r="S56" s="22">
        <f t="shared" si="27"/>
        <v>24</v>
      </c>
      <c r="T56" s="16">
        <f t="shared" si="28"/>
        <v>24</v>
      </c>
      <c r="U56" s="24">
        <f aca="true" t="shared" si="33" ref="U56:U65">ROUNDDOWN(IF(T56&lt;$O$3,"0",T56*35/100),0)</f>
        <v>0</v>
      </c>
      <c r="V56" s="9">
        <v>30</v>
      </c>
      <c r="W56" s="24">
        <f>IF(V56&lt;=U56,V56,U56)</f>
        <v>0</v>
      </c>
      <c r="X56" s="48">
        <f t="shared" si="21"/>
        <v>0.12022166797046409</v>
      </c>
      <c r="AB56" s="49"/>
    </row>
    <row r="57" spans="1:24" ht="12.75">
      <c r="A57" s="28">
        <v>48</v>
      </c>
      <c r="B57" s="35" t="s">
        <v>66</v>
      </c>
      <c r="C57" s="35"/>
      <c r="D57" s="18">
        <f>'[1]А-4'!$F$63</f>
        <v>2</v>
      </c>
      <c r="E57" s="92">
        <f>'[1]Норматив и фактически 2017'!$F$62</f>
        <v>246.336</v>
      </c>
      <c r="F57" s="112">
        <f t="shared" si="22"/>
        <v>158.78708363276522</v>
      </c>
      <c r="G57" s="70">
        <f t="shared" si="23"/>
        <v>131.30103945593356</v>
      </c>
      <c r="H57" s="70">
        <f t="shared" si="24"/>
        <v>27.48604417683166</v>
      </c>
      <c r="I57" s="26">
        <f t="shared" si="25"/>
        <v>28.6</v>
      </c>
      <c r="J57" s="19">
        <f>'[1]А-4'!G63</f>
        <v>25.700000000000003</v>
      </c>
      <c r="K57" s="26">
        <f>'[1]А-4'!$H$63</f>
        <v>2.9</v>
      </c>
      <c r="L57" s="26">
        <f>'[1]А-4'!$T$63</f>
        <v>3</v>
      </c>
      <c r="M57" s="26">
        <f>'[1]А-4'!$AF$63</f>
        <v>0</v>
      </c>
      <c r="N57" s="21">
        <f t="shared" si="29"/>
        <v>1.1673151750972761</v>
      </c>
      <c r="O57" s="21">
        <f t="shared" si="30"/>
        <v>0</v>
      </c>
      <c r="P57" s="26">
        <f t="shared" si="31"/>
        <v>0.6</v>
      </c>
      <c r="Q57" s="26">
        <f t="shared" si="32"/>
        <v>0</v>
      </c>
      <c r="R57" s="22">
        <f t="shared" si="26"/>
        <v>78</v>
      </c>
      <c r="S57" s="22">
        <f t="shared" si="27"/>
        <v>0</v>
      </c>
      <c r="T57" s="16">
        <f t="shared" si="28"/>
        <v>78</v>
      </c>
      <c r="U57" s="24">
        <f t="shared" si="33"/>
        <v>27</v>
      </c>
      <c r="V57" s="9">
        <v>54</v>
      </c>
      <c r="W57" s="24">
        <f aca="true" t="shared" si="34" ref="W57:W64">IF(V57&lt;=U57,V57,U57)</f>
        <v>27</v>
      </c>
      <c r="X57" s="48">
        <f t="shared" si="21"/>
        <v>0.4912238339259034</v>
      </c>
    </row>
    <row r="58" spans="1:24" ht="12.75">
      <c r="A58" s="28">
        <v>49</v>
      </c>
      <c r="B58" s="35" t="s">
        <v>67</v>
      </c>
      <c r="C58" s="35"/>
      <c r="D58" s="18">
        <f>'[1]А-4'!$F$64</f>
        <v>16</v>
      </c>
      <c r="E58" s="92">
        <f>'[1]Норматив и фактически 2017'!$F$63</f>
        <v>1221.2</v>
      </c>
      <c r="F58" s="112">
        <f t="shared" si="22"/>
        <v>787.1800570453887</v>
      </c>
      <c r="G58" s="70">
        <f t="shared" si="23"/>
        <v>650.9191891708319</v>
      </c>
      <c r="H58" s="70">
        <f t="shared" si="24"/>
        <v>136.2608678745568</v>
      </c>
      <c r="I58" s="26">
        <f t="shared" si="25"/>
        <v>164.60000000000002</v>
      </c>
      <c r="J58" s="19">
        <f>'[1]А-4'!G64</f>
        <v>150.8</v>
      </c>
      <c r="K58" s="26">
        <f>'[1]А-4'!$H$64</f>
        <v>13.799999999999999</v>
      </c>
      <c r="L58" s="26">
        <f>'[1]А-4'!$T$64</f>
        <v>27</v>
      </c>
      <c r="M58" s="26">
        <f>'[1]А-4'!$AF$64</f>
        <v>9</v>
      </c>
      <c r="N58" s="21">
        <f t="shared" si="29"/>
        <v>1.7904509283819627</v>
      </c>
      <c r="O58" s="21">
        <f t="shared" si="30"/>
        <v>6.522</v>
      </c>
      <c r="P58" s="26">
        <f t="shared" si="31"/>
        <v>0.9</v>
      </c>
      <c r="Q58" s="26">
        <f t="shared" si="32"/>
        <v>3.1</v>
      </c>
      <c r="R58" s="22">
        <f t="shared" si="26"/>
        <v>585</v>
      </c>
      <c r="S58" s="22">
        <f t="shared" si="27"/>
        <v>422</v>
      </c>
      <c r="T58" s="16">
        <f t="shared" si="28"/>
        <v>1007</v>
      </c>
      <c r="U58" s="24">
        <f t="shared" si="33"/>
        <v>352</v>
      </c>
      <c r="V58" s="9">
        <v>92</v>
      </c>
      <c r="W58" s="24">
        <f t="shared" si="34"/>
        <v>92</v>
      </c>
      <c r="X58" s="48">
        <f t="shared" si="21"/>
        <v>1.2792498882399106</v>
      </c>
    </row>
    <row r="59" spans="1:24" s="27" customFormat="1" ht="12.75">
      <c r="A59" s="28">
        <v>50</v>
      </c>
      <c r="B59" s="39" t="s">
        <v>30</v>
      </c>
      <c r="C59" s="39"/>
      <c r="D59" s="19">
        <f>'[1]А-4'!$F$65</f>
        <v>5</v>
      </c>
      <c r="E59" s="94">
        <f>'[1]Норматив и фактически 2017'!$F$64</f>
        <v>662</v>
      </c>
      <c r="F59" s="112">
        <f t="shared" si="22"/>
        <v>426.72223858831256</v>
      </c>
      <c r="G59" s="70">
        <f t="shared" si="23"/>
        <v>352.85661908867564</v>
      </c>
      <c r="H59" s="70">
        <f t="shared" si="24"/>
        <v>73.8656194996369</v>
      </c>
      <c r="I59" s="26">
        <f t="shared" si="25"/>
        <v>63.49999999999999</v>
      </c>
      <c r="J59" s="19">
        <f>'[1]А-4'!G65</f>
        <v>56.599999999999994</v>
      </c>
      <c r="K59" s="26">
        <f>'[1]А-4'!$H$65</f>
        <v>6.9</v>
      </c>
      <c r="L59" s="26">
        <f>'[1]А-4'!$T$65</f>
        <v>14</v>
      </c>
      <c r="M59" s="26">
        <f>'[1]А-4'!$AF$65</f>
        <v>5</v>
      </c>
      <c r="N59" s="21">
        <f t="shared" si="29"/>
        <v>2.473498233215548</v>
      </c>
      <c r="O59" s="21">
        <f t="shared" si="30"/>
        <v>7.246</v>
      </c>
      <c r="P59" s="26">
        <f t="shared" si="31"/>
        <v>1.2</v>
      </c>
      <c r="Q59" s="26">
        <f t="shared" si="32"/>
        <v>3.5</v>
      </c>
      <c r="R59" s="22">
        <f t="shared" si="26"/>
        <v>423</v>
      </c>
      <c r="S59" s="22">
        <f t="shared" si="27"/>
        <v>258</v>
      </c>
      <c r="T59" s="16">
        <f t="shared" si="28"/>
        <v>681</v>
      </c>
      <c r="U59" s="24">
        <f t="shared" si="33"/>
        <v>238</v>
      </c>
      <c r="V59" s="7">
        <v>90</v>
      </c>
      <c r="W59" s="24">
        <f t="shared" si="34"/>
        <v>90</v>
      </c>
      <c r="X59" s="48">
        <f t="shared" si="21"/>
        <v>1.5958858911428944</v>
      </c>
    </row>
    <row r="60" spans="1:24" ht="12.75">
      <c r="A60" s="28">
        <v>51</v>
      </c>
      <c r="B60" s="12" t="s">
        <v>96</v>
      </c>
      <c r="C60" s="12"/>
      <c r="D60" s="18">
        <f>'[1]А-4'!$F$66</f>
        <v>3</v>
      </c>
      <c r="E60" s="92">
        <f>'[1]Норматив и фактически 2017'!$F$65</f>
        <v>265.423</v>
      </c>
      <c r="F60" s="112">
        <f t="shared" si="22"/>
        <v>171.09047844837718</v>
      </c>
      <c r="G60" s="70">
        <f t="shared" si="23"/>
        <v>141.47471662896308</v>
      </c>
      <c r="H60" s="70">
        <f t="shared" si="24"/>
        <v>29.61576181941409</v>
      </c>
      <c r="I60" s="26">
        <f t="shared" si="25"/>
        <v>39</v>
      </c>
      <c r="J60" s="19">
        <f>'[1]А-4'!G66</f>
        <v>33.2</v>
      </c>
      <c r="K60" s="26">
        <f>'[1]А-4'!$H$66</f>
        <v>5.8</v>
      </c>
      <c r="L60" s="26">
        <f>'[1]А-4'!$T$66</f>
        <v>11</v>
      </c>
      <c r="M60" s="26">
        <f>'[1]А-4'!$AF$66</f>
        <v>10</v>
      </c>
      <c r="N60" s="21">
        <f t="shared" si="29"/>
        <v>3.3132530120481927</v>
      </c>
      <c r="O60" s="21">
        <f t="shared" si="30"/>
        <v>17.241</v>
      </c>
      <c r="P60" s="26">
        <f t="shared" si="31"/>
        <v>1.6</v>
      </c>
      <c r="Q60" s="26">
        <f t="shared" si="32"/>
        <v>8.3</v>
      </c>
      <c r="R60" s="22">
        <f t="shared" si="26"/>
        <v>226</v>
      </c>
      <c r="S60" s="22">
        <f t="shared" si="27"/>
        <v>245</v>
      </c>
      <c r="T60" s="16">
        <f t="shared" si="28"/>
        <v>471</v>
      </c>
      <c r="U60" s="24">
        <f t="shared" si="33"/>
        <v>164</v>
      </c>
      <c r="V60" s="9">
        <v>100</v>
      </c>
      <c r="W60" s="24">
        <f t="shared" si="34"/>
        <v>100</v>
      </c>
      <c r="X60" s="48">
        <f t="shared" si="21"/>
        <v>2.75292935218551</v>
      </c>
    </row>
    <row r="61" spans="1:24" ht="12.75">
      <c r="A61" s="28">
        <v>52</v>
      </c>
      <c r="B61" s="11" t="s">
        <v>45</v>
      </c>
      <c r="C61" s="7"/>
      <c r="D61" s="19">
        <f>'[1]А-4'!$F$67</f>
        <v>0</v>
      </c>
      <c r="E61" s="94">
        <f>'[1]Норматив и фактически 2017'!$F$66</f>
        <v>245.077</v>
      </c>
      <c r="F61" s="112">
        <f t="shared" si="22"/>
        <v>157.97553786481552</v>
      </c>
      <c r="G61" s="70">
        <f t="shared" si="23"/>
        <v>130.62997226041594</v>
      </c>
      <c r="H61" s="70">
        <f t="shared" si="24"/>
        <v>27.345565604399567</v>
      </c>
      <c r="I61" s="26">
        <f t="shared" si="25"/>
        <v>0</v>
      </c>
      <c r="J61" s="19">
        <f>'[1]А-4'!G67</f>
        <v>0</v>
      </c>
      <c r="K61" s="26">
        <f>'[1]А-4'!$H$67</f>
        <v>0</v>
      </c>
      <c r="L61" s="26">
        <f>'[1]А-4'!$T$67</f>
        <v>0</v>
      </c>
      <c r="M61" s="26">
        <f>'[1]А-4'!$AF$67</f>
        <v>0</v>
      </c>
      <c r="N61" s="21"/>
      <c r="O61" s="21"/>
      <c r="P61" s="26">
        <f t="shared" si="31"/>
        <v>0</v>
      </c>
      <c r="Q61" s="26">
        <f t="shared" si="32"/>
        <v>0</v>
      </c>
      <c r="R61" s="22">
        <f t="shared" si="26"/>
        <v>0</v>
      </c>
      <c r="S61" s="22">
        <f t="shared" si="27"/>
        <v>0</v>
      </c>
      <c r="T61" s="16">
        <f t="shared" si="28"/>
        <v>0</v>
      </c>
      <c r="U61" s="24">
        <f t="shared" si="33"/>
        <v>0</v>
      </c>
      <c r="V61" s="7">
        <v>120</v>
      </c>
      <c r="W61" s="24">
        <f t="shared" si="34"/>
        <v>0</v>
      </c>
      <c r="X61" s="48">
        <f t="shared" si="21"/>
        <v>0</v>
      </c>
    </row>
    <row r="62" spans="1:24" s="27" customFormat="1" ht="14.25" customHeight="1">
      <c r="A62" s="28">
        <v>53</v>
      </c>
      <c r="B62" s="204" t="s">
        <v>133</v>
      </c>
      <c r="C62" s="205"/>
      <c r="D62" s="18">
        <f>'[1]А-4'!$F$68</f>
        <v>3</v>
      </c>
      <c r="E62" s="95">
        <f>'[1]Норматив и фактически 2017'!$F$67</f>
        <v>303.961</v>
      </c>
      <c r="F62" s="112">
        <f t="shared" si="22"/>
        <v>195.93190085127202</v>
      </c>
      <c r="G62" s="70">
        <f t="shared" si="23"/>
        <v>162.01608881391684</v>
      </c>
      <c r="H62" s="70">
        <f t="shared" si="24"/>
        <v>33.91581203735519</v>
      </c>
      <c r="I62" s="26">
        <f t="shared" si="25"/>
        <v>33.5</v>
      </c>
      <c r="J62" s="19">
        <f>'[1]А-4'!G68</f>
        <v>33.5</v>
      </c>
      <c r="K62" s="26">
        <f>'[1]А-4'!$H$68</f>
        <v>0</v>
      </c>
      <c r="L62" s="26">
        <f>'[1]А-4'!$T$68</f>
        <v>4</v>
      </c>
      <c r="M62" s="26">
        <f>'[1]А-4'!$AF$68</f>
        <v>0</v>
      </c>
      <c r="N62" s="21">
        <f t="shared" si="29"/>
        <v>1.1940298507462686</v>
      </c>
      <c r="O62" s="21"/>
      <c r="P62" s="26">
        <f t="shared" si="31"/>
        <v>0.6</v>
      </c>
      <c r="Q62" s="26">
        <f t="shared" si="32"/>
        <v>0</v>
      </c>
      <c r="R62" s="22">
        <f t="shared" si="26"/>
        <v>97</v>
      </c>
      <c r="S62" s="22">
        <f t="shared" si="27"/>
        <v>0</v>
      </c>
      <c r="T62" s="16">
        <f t="shared" si="28"/>
        <v>97</v>
      </c>
      <c r="U62" s="24">
        <f t="shared" si="33"/>
        <v>33</v>
      </c>
      <c r="V62" s="9">
        <v>0</v>
      </c>
      <c r="W62" s="24">
        <f t="shared" si="34"/>
        <v>0</v>
      </c>
      <c r="X62" s="48">
        <f t="shared" si="21"/>
        <v>0.4950699685888862</v>
      </c>
    </row>
    <row r="63" spans="1:24" ht="12.75">
      <c r="A63" s="28">
        <v>54</v>
      </c>
      <c r="B63" s="204" t="s">
        <v>134</v>
      </c>
      <c r="C63" s="205"/>
      <c r="D63" s="18">
        <f>'[1]А-4'!$F$69</f>
        <v>2</v>
      </c>
      <c r="E63" s="105">
        <f>'[1]Норматив и фактически 2017'!$F$68</f>
        <v>54.1614</v>
      </c>
      <c r="F63" s="113">
        <f t="shared" si="22"/>
        <v>34.91219615268434</v>
      </c>
      <c r="G63" s="106">
        <f t="shared" si="23"/>
        <v>28.868894998654678</v>
      </c>
      <c r="H63" s="106">
        <f t="shared" si="24"/>
        <v>6.043301154029659</v>
      </c>
      <c r="I63" s="26">
        <f t="shared" si="25"/>
        <v>23.1</v>
      </c>
      <c r="J63" s="19">
        <f>'[1]А-4'!G69</f>
        <v>23.1</v>
      </c>
      <c r="K63" s="26">
        <f>'[1]А-4'!$H$69</f>
        <v>0</v>
      </c>
      <c r="L63" s="26">
        <f>'[1]А-4'!$T$69</f>
        <v>2</v>
      </c>
      <c r="M63" s="26">
        <f>'[1]А-4'!$AF$69</f>
        <v>0</v>
      </c>
      <c r="N63" s="21">
        <f t="shared" si="29"/>
        <v>0.8658008658008658</v>
      </c>
      <c r="O63" s="21"/>
      <c r="P63" s="26">
        <f t="shared" si="31"/>
        <v>0.4</v>
      </c>
      <c r="Q63" s="26">
        <f t="shared" si="32"/>
        <v>0</v>
      </c>
      <c r="R63" s="22">
        <f t="shared" si="26"/>
        <v>11</v>
      </c>
      <c r="S63" s="22">
        <f t="shared" si="27"/>
        <v>0</v>
      </c>
      <c r="T63" s="16">
        <f t="shared" si="28"/>
        <v>11</v>
      </c>
      <c r="U63" s="24">
        <f t="shared" si="33"/>
        <v>0</v>
      </c>
      <c r="V63" s="139">
        <v>0</v>
      </c>
      <c r="W63" s="24">
        <f t="shared" si="34"/>
        <v>0</v>
      </c>
      <c r="X63" s="48">
        <f>T64/F64</f>
        <v>0.8652282420984608</v>
      </c>
    </row>
    <row r="64" spans="1:24" ht="12.75">
      <c r="A64" s="28">
        <v>55</v>
      </c>
      <c r="B64" s="30" t="s">
        <v>63</v>
      </c>
      <c r="C64" s="31"/>
      <c r="D64" s="18">
        <f>'[1]А-4'!$F$70</f>
        <v>9</v>
      </c>
      <c r="E64" s="95">
        <f>'[1]Норматив и фактически 2017'!$F$69</f>
        <v>500.249</v>
      </c>
      <c r="F64" s="112">
        <f t="shared" si="22"/>
        <v>322.45826757033956</v>
      </c>
      <c r="G64" s="70">
        <f t="shared" si="23"/>
        <v>266.6407414539138</v>
      </c>
      <c r="H64" s="70">
        <f t="shared" si="24"/>
        <v>55.81752611642578</v>
      </c>
      <c r="I64" s="26">
        <f t="shared" si="25"/>
        <v>91.1</v>
      </c>
      <c r="J64" s="19">
        <f>'[1]А-4'!G70</f>
        <v>78.6</v>
      </c>
      <c r="K64" s="26">
        <f>'[1]А-4'!$H$70</f>
        <v>12.5</v>
      </c>
      <c r="L64" s="26">
        <f>'[1]А-4'!$T$70</f>
        <v>13</v>
      </c>
      <c r="M64" s="26">
        <f>'[1]А-4'!$AF$70</f>
        <v>3</v>
      </c>
      <c r="N64" s="21">
        <f t="shared" si="29"/>
        <v>1.6539440203562341</v>
      </c>
      <c r="O64" s="21">
        <f t="shared" si="30"/>
        <v>2.4</v>
      </c>
      <c r="P64" s="26">
        <f t="shared" si="31"/>
        <v>0.8</v>
      </c>
      <c r="Q64" s="26">
        <f t="shared" si="32"/>
        <v>1.2</v>
      </c>
      <c r="R64" s="22">
        <f t="shared" si="26"/>
        <v>213</v>
      </c>
      <c r="S64" s="22">
        <f t="shared" si="27"/>
        <v>66</v>
      </c>
      <c r="T64" s="16">
        <f t="shared" si="28"/>
        <v>279</v>
      </c>
      <c r="U64" s="24">
        <f t="shared" si="33"/>
        <v>97</v>
      </c>
      <c r="V64" s="9">
        <v>31</v>
      </c>
      <c r="W64" s="24">
        <f t="shared" si="34"/>
        <v>31</v>
      </c>
      <c r="X64" s="48">
        <f>T65/F65</f>
        <v>0.7438379129706699</v>
      </c>
    </row>
    <row r="65" spans="1:24" ht="12.75">
      <c r="A65" s="28">
        <v>56</v>
      </c>
      <c r="B65" s="33" t="s">
        <v>29</v>
      </c>
      <c r="C65" s="38"/>
      <c r="D65" s="18">
        <f>'[1]А-4'!$F$71</f>
        <v>28</v>
      </c>
      <c r="E65" s="92">
        <f>'[1]Норматив и фактически 2017'!$F$70</f>
        <v>2181.5546</v>
      </c>
      <c r="F65" s="112">
        <f t="shared" si="22"/>
        <v>1406.2203361248198</v>
      </c>
      <c r="G65" s="70">
        <f t="shared" si="23"/>
        <v>1162.8035959416134</v>
      </c>
      <c r="H65" s="70">
        <f t="shared" si="24"/>
        <v>243.41674018320631</v>
      </c>
      <c r="I65" s="26">
        <f t="shared" si="25"/>
        <v>302.99999999999994</v>
      </c>
      <c r="J65" s="19">
        <f>'[1]А-4'!G71</f>
        <v>298.49999999999994</v>
      </c>
      <c r="K65" s="26">
        <f>'[1]А-4'!$H$71</f>
        <v>4.5</v>
      </c>
      <c r="L65" s="26">
        <f>'[1]А-4'!$T$71</f>
        <v>57</v>
      </c>
      <c r="M65" s="26">
        <f>'[1]А-4'!$AF$71</f>
        <v>0</v>
      </c>
      <c r="N65" s="21">
        <f t="shared" si="29"/>
        <v>1.9095477386934676</v>
      </c>
      <c r="O65" s="21">
        <f t="shared" si="30"/>
        <v>0</v>
      </c>
      <c r="P65" s="26">
        <f t="shared" si="31"/>
        <v>0.9</v>
      </c>
      <c r="Q65" s="26">
        <f t="shared" si="32"/>
        <v>0</v>
      </c>
      <c r="R65" s="22">
        <f t="shared" si="26"/>
        <v>1046</v>
      </c>
      <c r="S65" s="22">
        <f t="shared" si="27"/>
        <v>0</v>
      </c>
      <c r="T65" s="16">
        <f t="shared" si="28"/>
        <v>1046</v>
      </c>
      <c r="U65" s="24">
        <f t="shared" si="33"/>
        <v>366</v>
      </c>
      <c r="V65" s="9"/>
      <c r="W65" s="24">
        <f>U65</f>
        <v>366</v>
      </c>
      <c r="X65" s="48" t="e">
        <f>T66/F66</f>
        <v>#DIV/0!</v>
      </c>
    </row>
    <row r="66" spans="1:24" ht="12.75">
      <c r="A66" s="28">
        <v>57</v>
      </c>
      <c r="B66" s="90"/>
      <c r="C66" s="103"/>
      <c r="D66" s="18"/>
      <c r="E66" s="92"/>
      <c r="F66" s="112"/>
      <c r="G66" s="70"/>
      <c r="H66" s="70"/>
      <c r="I66" s="26"/>
      <c r="J66" s="19"/>
      <c r="K66" s="26"/>
      <c r="L66" s="26"/>
      <c r="M66" s="26"/>
      <c r="N66" s="21"/>
      <c r="O66" s="21"/>
      <c r="P66" s="26"/>
      <c r="Q66" s="26"/>
      <c r="R66" s="22"/>
      <c r="S66" s="22"/>
      <c r="T66" s="16"/>
      <c r="U66" s="24"/>
      <c r="V66" s="9"/>
      <c r="W66" s="24"/>
      <c r="X66" s="48"/>
    </row>
    <row r="67" spans="1:24" ht="12.75">
      <c r="A67" s="28">
        <v>58</v>
      </c>
      <c r="B67" s="90"/>
      <c r="C67" s="103"/>
      <c r="D67" s="18"/>
      <c r="E67" s="92"/>
      <c r="F67" s="112"/>
      <c r="G67" s="70"/>
      <c r="H67" s="70"/>
      <c r="I67" s="26"/>
      <c r="J67" s="19"/>
      <c r="K67" s="26"/>
      <c r="L67" s="26"/>
      <c r="M67" s="26"/>
      <c r="N67" s="21"/>
      <c r="O67" s="21"/>
      <c r="P67" s="26"/>
      <c r="Q67" s="26"/>
      <c r="R67" s="22"/>
      <c r="S67" s="22"/>
      <c r="T67" s="16"/>
      <c r="U67" s="24"/>
      <c r="V67" s="9"/>
      <c r="W67" s="24"/>
      <c r="X67" s="48"/>
    </row>
    <row r="68" spans="1:24" ht="12.75">
      <c r="A68" s="28">
        <v>59</v>
      </c>
      <c r="B68" s="90"/>
      <c r="C68" s="103"/>
      <c r="D68" s="18"/>
      <c r="E68" s="92"/>
      <c r="F68" s="112"/>
      <c r="G68" s="70"/>
      <c r="H68" s="70"/>
      <c r="I68" s="26"/>
      <c r="J68" s="19"/>
      <c r="K68" s="26"/>
      <c r="L68" s="26"/>
      <c r="M68" s="26"/>
      <c r="N68" s="21"/>
      <c r="O68" s="21"/>
      <c r="P68" s="26"/>
      <c r="Q68" s="26"/>
      <c r="R68" s="22"/>
      <c r="S68" s="22"/>
      <c r="T68" s="16"/>
      <c r="U68" s="24"/>
      <c r="V68" s="9"/>
      <c r="W68" s="24"/>
      <c r="X68" s="48"/>
    </row>
    <row r="69" spans="1:24" ht="12.75">
      <c r="A69" s="28">
        <v>60</v>
      </c>
      <c r="B69" s="90"/>
      <c r="C69" s="103"/>
      <c r="D69" s="18"/>
      <c r="E69" s="92"/>
      <c r="F69" s="112"/>
      <c r="G69" s="70"/>
      <c r="H69" s="70"/>
      <c r="I69" s="26"/>
      <c r="J69" s="19"/>
      <c r="K69" s="26"/>
      <c r="L69" s="26"/>
      <c r="M69" s="26"/>
      <c r="N69" s="21"/>
      <c r="O69" s="21"/>
      <c r="P69" s="26"/>
      <c r="Q69" s="26"/>
      <c r="R69" s="22"/>
      <c r="S69" s="22"/>
      <c r="T69" s="16"/>
      <c r="U69" s="24"/>
      <c r="V69" s="9"/>
      <c r="W69" s="24"/>
      <c r="X69" s="48"/>
    </row>
    <row r="70" spans="1:24" ht="12.75">
      <c r="A70" s="28">
        <v>61</v>
      </c>
      <c r="B70" s="90"/>
      <c r="C70" s="103"/>
      <c r="D70" s="18"/>
      <c r="E70" s="92"/>
      <c r="F70" s="112"/>
      <c r="G70" s="70"/>
      <c r="H70" s="70"/>
      <c r="I70" s="26"/>
      <c r="J70" s="19"/>
      <c r="K70" s="26"/>
      <c r="L70" s="26"/>
      <c r="M70" s="26"/>
      <c r="N70" s="21"/>
      <c r="O70" s="21"/>
      <c r="P70" s="26"/>
      <c r="Q70" s="26"/>
      <c r="R70" s="22"/>
      <c r="S70" s="22"/>
      <c r="T70" s="16"/>
      <c r="U70" s="24"/>
      <c r="V70" s="9"/>
      <c r="W70" s="24"/>
      <c r="X70" s="48"/>
    </row>
    <row r="71" spans="1:30" ht="31.5" customHeight="1">
      <c r="A71" s="9"/>
      <c r="B71" s="210" t="s">
        <v>89</v>
      </c>
      <c r="C71" s="178"/>
      <c r="D71" s="78">
        <f aca="true" t="shared" si="35" ref="D71:M71">SUM(D72:D88)</f>
        <v>90</v>
      </c>
      <c r="E71" s="99">
        <f t="shared" si="35"/>
        <v>9060.788999999999</v>
      </c>
      <c r="F71" s="99">
        <f t="shared" si="35"/>
        <v>7001.000000000001</v>
      </c>
      <c r="G71" s="79">
        <f t="shared" si="35"/>
        <v>4491.841600000001</v>
      </c>
      <c r="H71" s="79">
        <f t="shared" si="35"/>
        <v>2509.1584000000007</v>
      </c>
      <c r="I71" s="79">
        <f t="shared" si="35"/>
        <v>947.5299999999999</v>
      </c>
      <c r="J71" s="79">
        <f t="shared" si="35"/>
        <v>569.24</v>
      </c>
      <c r="K71" s="79">
        <f t="shared" si="35"/>
        <v>378.28999999999996</v>
      </c>
      <c r="L71" s="79">
        <f t="shared" si="35"/>
        <v>167</v>
      </c>
      <c r="M71" s="79">
        <f t="shared" si="35"/>
        <v>136</v>
      </c>
      <c r="N71" s="74">
        <f>ROUND(L71/J71*10,2)</f>
        <v>2.93</v>
      </c>
      <c r="O71" s="74">
        <f>ROUND(M71/K71*10,3)</f>
        <v>3.595</v>
      </c>
      <c r="P71" s="76">
        <f aca="true" t="shared" si="36" ref="P71:Q78">ROUND(N71*$M$5,1)</f>
        <v>1.4</v>
      </c>
      <c r="Q71" s="76">
        <f t="shared" si="36"/>
        <v>1.7</v>
      </c>
      <c r="R71" s="79">
        <f aca="true" t="shared" si="37" ref="R71:W71">SUM(R72:R88)</f>
        <v>6435</v>
      </c>
      <c r="S71" s="79">
        <f t="shared" si="37"/>
        <v>3166</v>
      </c>
      <c r="T71" s="79">
        <f t="shared" si="37"/>
        <v>9601</v>
      </c>
      <c r="U71" s="79">
        <f t="shared" si="37"/>
        <v>3101</v>
      </c>
      <c r="V71" s="79">
        <f t="shared" si="37"/>
        <v>1416</v>
      </c>
      <c r="W71" s="79">
        <f t="shared" si="37"/>
        <v>2508</v>
      </c>
      <c r="X71" s="48">
        <f aca="true" t="shared" si="38" ref="X71:X78">T71/F71</f>
        <v>1.3713755177831737</v>
      </c>
      <c r="Y71" s="50">
        <f>7001/E71</f>
        <v>0.7726700180304388</v>
      </c>
      <c r="AB71">
        <v>9221</v>
      </c>
      <c r="AD71" s="20">
        <f>AB71-T71</f>
        <v>-380</v>
      </c>
    </row>
    <row r="72" spans="1:24" ht="12.75">
      <c r="A72" s="28">
        <v>62</v>
      </c>
      <c r="B72" s="15" t="s">
        <v>100</v>
      </c>
      <c r="C72" s="9"/>
      <c r="D72" s="18">
        <f>'[1]А-4'!$F$83</f>
        <v>1</v>
      </c>
      <c r="E72" s="92">
        <f>'[1]Норматив и фактически 2017'!$F$77</f>
        <v>225</v>
      </c>
      <c r="F72" s="112">
        <f aca="true" t="shared" si="39" ref="F72:F85">E72*$Y$71</f>
        <v>173.85075405684873</v>
      </c>
      <c r="G72" s="70">
        <f aca="true" t="shared" si="40" ref="G72:G85">F72*0.6416</f>
        <v>111.54264380287414</v>
      </c>
      <c r="H72" s="70">
        <f aca="true" t="shared" si="41" ref="H72:H85">F72*0.3584</f>
        <v>62.30811025397458</v>
      </c>
      <c r="I72" s="26">
        <f aca="true" t="shared" si="42" ref="I72:I85">J72+K72</f>
        <v>10</v>
      </c>
      <c r="J72" s="19">
        <f>'[1]А-4'!G83</f>
        <v>10</v>
      </c>
      <c r="K72" s="26">
        <f>'[1]А-4'!$H$83</f>
        <v>0</v>
      </c>
      <c r="L72" s="26">
        <f>'[1]А-4'!$T$83</f>
        <v>1</v>
      </c>
      <c r="M72" s="21">
        <f>'[1]А-4'!$AF$83</f>
        <v>0</v>
      </c>
      <c r="N72" s="21">
        <f>L72*10/J72</f>
        <v>1</v>
      </c>
      <c r="O72" s="21"/>
      <c r="P72" s="26">
        <f t="shared" si="36"/>
        <v>0.5</v>
      </c>
      <c r="Q72" s="26">
        <f t="shared" si="36"/>
        <v>0</v>
      </c>
      <c r="R72" s="22">
        <f aca="true" t="shared" si="43" ref="R72:R85">ROUNDDOWN((P72*G72),0)</f>
        <v>55</v>
      </c>
      <c r="S72" s="22">
        <f aca="true" t="shared" si="44" ref="S72:S85">ROUNDDOWN((Q72*H72),0)</f>
        <v>0</v>
      </c>
      <c r="T72" s="16">
        <f aca="true" t="shared" si="45" ref="T72:T85">R72+S72</f>
        <v>55</v>
      </c>
      <c r="U72" s="24">
        <f>ROUNDDOWN(IF(T72&lt;$O$3,"0",T72*35/100),0)</f>
        <v>19</v>
      </c>
      <c r="V72" s="9">
        <v>67</v>
      </c>
      <c r="W72" s="24">
        <f aca="true" t="shared" si="46" ref="W72:W80">IF(V72&lt;=U72,V72,U72)</f>
        <v>19</v>
      </c>
      <c r="X72" s="48">
        <f t="shared" si="38"/>
        <v>0.3163633100033328</v>
      </c>
    </row>
    <row r="73" spans="1:30" ht="12.75">
      <c r="A73" s="28">
        <f aca="true" t="shared" si="47" ref="A73:A88">A72+1</f>
        <v>63</v>
      </c>
      <c r="B73" s="15" t="s">
        <v>101</v>
      </c>
      <c r="C73" s="9"/>
      <c r="D73" s="18">
        <f>'[1]А-4'!$F$84</f>
        <v>7</v>
      </c>
      <c r="E73" s="92">
        <f>'[1]Норматив и фактически 2017'!$F$78</f>
        <v>520</v>
      </c>
      <c r="F73" s="112">
        <f t="shared" si="39"/>
        <v>401.78840937582817</v>
      </c>
      <c r="G73" s="70">
        <f t="shared" si="40"/>
        <v>257.78744345553133</v>
      </c>
      <c r="H73" s="70">
        <f t="shared" si="41"/>
        <v>144.0009659202968</v>
      </c>
      <c r="I73" s="26">
        <f t="shared" si="42"/>
        <v>70</v>
      </c>
      <c r="J73" s="19">
        <f>'[1]А-4'!G84</f>
        <v>70</v>
      </c>
      <c r="K73" s="26">
        <f>'[1]А-4'!$H$84</f>
        <v>0</v>
      </c>
      <c r="L73" s="26">
        <f>'[1]А-4'!$T$84</f>
        <v>7</v>
      </c>
      <c r="M73" s="21">
        <f>'[1]А-4'!$AF$84</f>
        <v>0</v>
      </c>
      <c r="N73" s="21">
        <f>L73*10/J73</f>
        <v>1</v>
      </c>
      <c r="O73" s="21"/>
      <c r="P73" s="26">
        <f t="shared" si="36"/>
        <v>0.5</v>
      </c>
      <c r="Q73" s="26">
        <f t="shared" si="36"/>
        <v>0</v>
      </c>
      <c r="R73" s="22">
        <f t="shared" si="43"/>
        <v>128</v>
      </c>
      <c r="S73" s="22">
        <f t="shared" si="44"/>
        <v>0</v>
      </c>
      <c r="T73" s="16">
        <f t="shared" si="45"/>
        <v>128</v>
      </c>
      <c r="U73" s="24">
        <f aca="true" t="shared" si="48" ref="U73:U85">ROUNDDOWN(IF(T73&lt;$O$3,"0",T73*35/100),0)</f>
        <v>44</v>
      </c>
      <c r="V73" s="9">
        <v>222</v>
      </c>
      <c r="W73" s="24">
        <f t="shared" si="46"/>
        <v>44</v>
      </c>
      <c r="X73" s="48">
        <f t="shared" si="38"/>
        <v>0.31857564084251694</v>
      </c>
      <c r="AD73" s="51">
        <f>9064.2-R71</f>
        <v>2629.2000000000007</v>
      </c>
    </row>
    <row r="74" spans="1:24" ht="12.75">
      <c r="A74" s="28">
        <f t="shared" si="47"/>
        <v>64</v>
      </c>
      <c r="B74" s="15" t="s">
        <v>102</v>
      </c>
      <c r="C74" s="9"/>
      <c r="D74" s="18">
        <f>'[1]А-4'!$F$85</f>
        <v>22</v>
      </c>
      <c r="E74" s="92">
        <f>'[1]Норматив и фактически 2017'!$F$79</f>
        <v>2256</v>
      </c>
      <c r="F74" s="112">
        <f t="shared" si="39"/>
        <v>1743.14356067667</v>
      </c>
      <c r="G74" s="70">
        <f t="shared" si="40"/>
        <v>1118.4009085301514</v>
      </c>
      <c r="H74" s="70">
        <f t="shared" si="41"/>
        <v>624.7426521465185</v>
      </c>
      <c r="I74" s="26">
        <f t="shared" si="42"/>
        <v>220</v>
      </c>
      <c r="J74" s="19">
        <f>'[1]А-4'!G85</f>
        <v>186</v>
      </c>
      <c r="K74" s="26">
        <f>'[1]А-4'!$H$85</f>
        <v>34</v>
      </c>
      <c r="L74" s="26">
        <f>'[1]А-4'!$T$85</f>
        <v>36</v>
      </c>
      <c r="M74" s="21">
        <f>'[1]А-4'!$AF$85</f>
        <v>5</v>
      </c>
      <c r="N74" s="21">
        <f>L74*10/J74</f>
        <v>1.935483870967742</v>
      </c>
      <c r="O74" s="21">
        <f>ROUND(M74/K74*10,3)</f>
        <v>1.471</v>
      </c>
      <c r="P74" s="26">
        <f t="shared" si="36"/>
        <v>0.9</v>
      </c>
      <c r="Q74" s="26">
        <f t="shared" si="36"/>
        <v>0.7</v>
      </c>
      <c r="R74" s="22">
        <f t="shared" si="43"/>
        <v>1006</v>
      </c>
      <c r="S74" s="22">
        <f t="shared" si="44"/>
        <v>437</v>
      </c>
      <c r="T74" s="16">
        <f t="shared" si="45"/>
        <v>1443</v>
      </c>
      <c r="U74" s="24">
        <f t="shared" si="48"/>
        <v>505</v>
      </c>
      <c r="V74" s="9">
        <v>920</v>
      </c>
      <c r="W74" s="24">
        <f t="shared" si="46"/>
        <v>505</v>
      </c>
      <c r="X74" s="48">
        <f t="shared" si="38"/>
        <v>0.8278147781699877</v>
      </c>
    </row>
    <row r="75" spans="1:24" s="29" customFormat="1" ht="12.75">
      <c r="A75" s="28">
        <f t="shared" si="47"/>
        <v>65</v>
      </c>
      <c r="B75" s="15" t="s">
        <v>103</v>
      </c>
      <c r="C75" s="9"/>
      <c r="D75" s="18">
        <f>'[1]А-4'!$F$86</f>
        <v>4</v>
      </c>
      <c r="E75" s="92">
        <f>'[1]Норматив и фактически 2017'!$F$80</f>
        <v>255.545</v>
      </c>
      <c r="F75" s="112">
        <f t="shared" si="39"/>
        <v>197.45195975758847</v>
      </c>
      <c r="G75" s="70">
        <f t="shared" si="40"/>
        <v>126.68517738046876</v>
      </c>
      <c r="H75" s="70">
        <f t="shared" si="41"/>
        <v>70.76678237711971</v>
      </c>
      <c r="I75" s="26">
        <f t="shared" si="42"/>
        <v>40</v>
      </c>
      <c r="J75" s="19">
        <f>'[1]А-4'!G86</f>
        <v>18</v>
      </c>
      <c r="K75" s="26">
        <f>'[1]А-4'!$H$86</f>
        <v>22</v>
      </c>
      <c r="L75" s="26">
        <f>'[1]А-4'!$T$86</f>
        <v>0</v>
      </c>
      <c r="M75" s="21">
        <f>'[1]А-4'!$AF$86</f>
        <v>3</v>
      </c>
      <c r="N75" s="21">
        <f>L75*10/J75</f>
        <v>0</v>
      </c>
      <c r="O75" s="21">
        <f>ROUND(M75/K75*10,3)</f>
        <v>1.364</v>
      </c>
      <c r="P75" s="26">
        <f t="shared" si="36"/>
        <v>0</v>
      </c>
      <c r="Q75" s="26">
        <f t="shared" si="36"/>
        <v>0.7</v>
      </c>
      <c r="R75" s="22">
        <f t="shared" si="43"/>
        <v>0</v>
      </c>
      <c r="S75" s="22">
        <f t="shared" si="44"/>
        <v>49</v>
      </c>
      <c r="T75" s="16">
        <f t="shared" si="45"/>
        <v>49</v>
      </c>
      <c r="U75" s="24">
        <f t="shared" si="48"/>
        <v>17</v>
      </c>
      <c r="V75" s="9">
        <v>107</v>
      </c>
      <c r="W75" s="24">
        <f t="shared" si="46"/>
        <v>17</v>
      </c>
      <c r="X75" s="48">
        <f t="shared" si="38"/>
        <v>0.24816162908768918</v>
      </c>
    </row>
    <row r="76" spans="1:36" ht="12.75">
      <c r="A76" s="28">
        <f t="shared" si="47"/>
        <v>66</v>
      </c>
      <c r="B76" s="187" t="s">
        <v>137</v>
      </c>
      <c r="C76" s="188"/>
      <c r="D76" s="18">
        <f>'[1]А-4'!$F$87</f>
        <v>15</v>
      </c>
      <c r="E76" s="92">
        <f>'[1]Норматив и фактически 2017'!$F$81</f>
        <v>1294.273</v>
      </c>
      <c r="F76" s="112">
        <f t="shared" si="39"/>
        <v>1000.04594224631</v>
      </c>
      <c r="G76" s="70">
        <f t="shared" si="40"/>
        <v>641.6294765452325</v>
      </c>
      <c r="H76" s="70">
        <f t="shared" si="41"/>
        <v>358.4164657010775</v>
      </c>
      <c r="I76" s="26">
        <f t="shared" si="42"/>
        <v>156.73</v>
      </c>
      <c r="J76" s="19">
        <f>'[1]А-4'!G87</f>
        <v>62.9</v>
      </c>
      <c r="K76" s="26">
        <f>'[1]А-4'!$H$87</f>
        <v>93.83</v>
      </c>
      <c r="L76" s="26">
        <f>'[1]А-4'!$T$87</f>
        <v>33</v>
      </c>
      <c r="M76" s="21">
        <f>'[1]А-4'!$AF$87</f>
        <v>46</v>
      </c>
      <c r="N76" s="21">
        <f aca="true" t="shared" si="49" ref="N76:N84">L76*10/J76</f>
        <v>5.246422893481717</v>
      </c>
      <c r="O76" s="21">
        <f aca="true" t="shared" si="50" ref="O76:O84">ROUND(M76/K76*10,3)</f>
        <v>4.902</v>
      </c>
      <c r="P76" s="26">
        <f t="shared" si="36"/>
        <v>2.5</v>
      </c>
      <c r="Q76" s="26">
        <f aca="true" t="shared" si="51" ref="Q76:Q85">ROUND(O76*$M$5,1)</f>
        <v>2.4</v>
      </c>
      <c r="R76" s="22">
        <f t="shared" si="43"/>
        <v>1604</v>
      </c>
      <c r="S76" s="22">
        <f t="shared" si="44"/>
        <v>860</v>
      </c>
      <c r="T76" s="16">
        <f t="shared" si="45"/>
        <v>2464</v>
      </c>
      <c r="U76" s="24">
        <f t="shared" si="48"/>
        <v>862</v>
      </c>
      <c r="V76" s="9">
        <v>0</v>
      </c>
      <c r="W76" s="24">
        <v>862</v>
      </c>
      <c r="X76" s="48">
        <f t="shared" si="38"/>
        <v>2.463886803505593</v>
      </c>
      <c r="AJ76" s="52"/>
    </row>
    <row r="77" spans="1:24" ht="12.75">
      <c r="A77" s="28">
        <f t="shared" si="47"/>
        <v>67</v>
      </c>
      <c r="B77" s="8" t="s">
        <v>64</v>
      </c>
      <c r="C77" s="8"/>
      <c r="D77" s="18">
        <f>'[1]А-4'!$F$89</f>
        <v>9</v>
      </c>
      <c r="E77" s="92">
        <f>'[1]Норматив и фактически 2017'!$F$82</f>
        <v>1035</v>
      </c>
      <c r="F77" s="112">
        <f t="shared" si="39"/>
        <v>799.7134686615042</v>
      </c>
      <c r="G77" s="70">
        <f t="shared" si="40"/>
        <v>513.0961614932211</v>
      </c>
      <c r="H77" s="70">
        <f t="shared" si="41"/>
        <v>286.6173071682831</v>
      </c>
      <c r="I77" s="26">
        <f t="shared" si="42"/>
        <v>99.79999999999998</v>
      </c>
      <c r="J77" s="19">
        <f>'[1]А-4'!G89</f>
        <v>10.6</v>
      </c>
      <c r="K77" s="26">
        <f>'[1]А-4'!$H$89</f>
        <v>89.19999999999999</v>
      </c>
      <c r="L77" s="26">
        <f>'[1]А-4'!$T$89</f>
        <v>3</v>
      </c>
      <c r="M77" s="21">
        <f>'[1]А-4'!$AF$89</f>
        <v>33</v>
      </c>
      <c r="N77" s="21">
        <f t="shared" si="49"/>
        <v>2.8301886792452833</v>
      </c>
      <c r="O77" s="21">
        <f t="shared" si="50"/>
        <v>3.7</v>
      </c>
      <c r="P77" s="26">
        <f t="shared" si="36"/>
        <v>1.4</v>
      </c>
      <c r="Q77" s="26">
        <f t="shared" si="51"/>
        <v>1.8</v>
      </c>
      <c r="R77" s="22">
        <f t="shared" si="43"/>
        <v>718</v>
      </c>
      <c r="S77" s="22">
        <f t="shared" si="44"/>
        <v>515</v>
      </c>
      <c r="T77" s="16">
        <f t="shared" si="45"/>
        <v>1233</v>
      </c>
      <c r="U77" s="24">
        <f t="shared" si="48"/>
        <v>431</v>
      </c>
      <c r="V77" s="9">
        <v>0</v>
      </c>
      <c r="W77" s="24">
        <v>431</v>
      </c>
      <c r="X77" s="48">
        <f t="shared" si="38"/>
        <v>1.5418022183166376</v>
      </c>
    </row>
    <row r="78" spans="1:24" ht="12.75">
      <c r="A78" s="28">
        <f t="shared" si="47"/>
        <v>68</v>
      </c>
      <c r="B78" s="80" t="s">
        <v>32</v>
      </c>
      <c r="C78" s="81"/>
      <c r="D78" s="18">
        <f>'[1]А-4'!$F$88</f>
        <v>1</v>
      </c>
      <c r="E78" s="92">
        <f>'[1]Норматив и фактически 2017'!$F$83</f>
        <v>207.569</v>
      </c>
      <c r="F78" s="112">
        <f t="shared" si="39"/>
        <v>160.38234297256014</v>
      </c>
      <c r="G78" s="70">
        <f t="shared" si="40"/>
        <v>102.90131125119457</v>
      </c>
      <c r="H78" s="70">
        <f t="shared" si="41"/>
        <v>57.481031721365554</v>
      </c>
      <c r="I78" s="26">
        <f t="shared" si="42"/>
        <v>10</v>
      </c>
      <c r="J78" s="19">
        <f>'[1]А-4'!G88</f>
        <v>10</v>
      </c>
      <c r="K78" s="26">
        <f>'[1]А-4'!$H$88</f>
        <v>0</v>
      </c>
      <c r="L78" s="26">
        <f>'[1]А-4'!$T$88</f>
        <v>10</v>
      </c>
      <c r="M78" s="21">
        <f>'[1]А-4'!$AF$88</f>
        <v>0</v>
      </c>
      <c r="N78" s="21">
        <f t="shared" si="49"/>
        <v>10</v>
      </c>
      <c r="O78" s="21"/>
      <c r="P78" s="26">
        <f t="shared" si="36"/>
        <v>4.8</v>
      </c>
      <c r="Q78" s="26">
        <f t="shared" si="51"/>
        <v>0</v>
      </c>
      <c r="R78" s="22">
        <f t="shared" si="43"/>
        <v>493</v>
      </c>
      <c r="S78" s="22">
        <f t="shared" si="44"/>
        <v>0</v>
      </c>
      <c r="T78" s="16">
        <f t="shared" si="45"/>
        <v>493</v>
      </c>
      <c r="U78" s="24">
        <f t="shared" si="48"/>
        <v>172</v>
      </c>
      <c r="V78" s="9">
        <v>0</v>
      </c>
      <c r="W78" s="24">
        <f t="shared" si="46"/>
        <v>0</v>
      </c>
      <c r="X78" s="48">
        <f t="shared" si="38"/>
        <v>3.0739044639368283</v>
      </c>
    </row>
    <row r="79" spans="1:28" ht="12.75">
      <c r="A79" s="28">
        <f t="shared" si="47"/>
        <v>69</v>
      </c>
      <c r="B79" s="83" t="s">
        <v>44</v>
      </c>
      <c r="C79" s="84"/>
      <c r="D79" s="18">
        <f>'[1]А-4'!$F$91</f>
        <v>0</v>
      </c>
      <c r="E79" s="92">
        <f>'[1]Норматив и фактически 2017'!$F$84</f>
        <v>684.946</v>
      </c>
      <c r="F79" s="112">
        <f t="shared" si="39"/>
        <v>529.237238169877</v>
      </c>
      <c r="G79" s="70">
        <f t="shared" si="40"/>
        <v>339.558612009793</v>
      </c>
      <c r="H79" s="70">
        <f t="shared" si="41"/>
        <v>189.6786261600839</v>
      </c>
      <c r="I79" s="26">
        <f t="shared" si="42"/>
        <v>0</v>
      </c>
      <c r="J79" s="19">
        <f>'[1]А-4'!G91</f>
        <v>0</v>
      </c>
      <c r="K79" s="26">
        <f>'[1]А-4'!$H$91</f>
        <v>0</v>
      </c>
      <c r="L79" s="26">
        <f>'[1]А-4'!$T$91</f>
        <v>0</v>
      </c>
      <c r="M79" s="21">
        <f>'[1]А-4'!$AF$91</f>
        <v>0</v>
      </c>
      <c r="N79" s="21"/>
      <c r="O79" s="21"/>
      <c r="P79" s="26">
        <f aca="true" t="shared" si="52" ref="P79:P85">ROUND(N79*$M$5,1)</f>
        <v>0</v>
      </c>
      <c r="Q79" s="26">
        <f t="shared" si="51"/>
        <v>0</v>
      </c>
      <c r="R79" s="22">
        <f t="shared" si="43"/>
        <v>0</v>
      </c>
      <c r="S79" s="22">
        <f t="shared" si="44"/>
        <v>0</v>
      </c>
      <c r="T79" s="16">
        <f t="shared" si="45"/>
        <v>0</v>
      </c>
      <c r="U79" s="24">
        <f t="shared" si="48"/>
        <v>0</v>
      </c>
      <c r="V79" s="9">
        <v>0</v>
      </c>
      <c r="W79" s="24">
        <f t="shared" si="46"/>
        <v>0</v>
      </c>
      <c r="X79" s="48">
        <f>T78/F78</f>
        <v>3.0739044639368283</v>
      </c>
      <c r="AB79">
        <f>9064.2-8805</f>
        <v>259.2000000000007</v>
      </c>
    </row>
    <row r="80" spans="1:28" ht="12.75">
      <c r="A80" s="28">
        <f t="shared" si="47"/>
        <v>70</v>
      </c>
      <c r="B80" s="33" t="s">
        <v>31</v>
      </c>
      <c r="C80" s="34"/>
      <c r="D80" s="18">
        <f>'[1]А-4'!$F$95</f>
        <v>1</v>
      </c>
      <c r="E80" s="92">
        <f>'[1]Норматив и фактически 2017'!$F$85</f>
        <v>156.031</v>
      </c>
      <c r="F80" s="112">
        <f t="shared" si="39"/>
        <v>120.5604755833074</v>
      </c>
      <c r="G80" s="70">
        <f t="shared" si="40"/>
        <v>77.35160113425002</v>
      </c>
      <c r="H80" s="70">
        <f t="shared" si="41"/>
        <v>43.20887444905737</v>
      </c>
      <c r="I80" s="26">
        <f t="shared" si="42"/>
        <v>11.8</v>
      </c>
      <c r="J80" s="19">
        <f>'[1]А-4'!G95</f>
        <v>7.8</v>
      </c>
      <c r="K80" s="26">
        <f>'[1]А-4'!$H$95</f>
        <v>4</v>
      </c>
      <c r="L80" s="26">
        <f>'[1]А-4'!$T$95</f>
        <v>6</v>
      </c>
      <c r="M80" s="21">
        <f>'[1]А-4'!$AF$95</f>
        <v>4</v>
      </c>
      <c r="N80" s="21">
        <f t="shared" si="49"/>
        <v>7.6923076923076925</v>
      </c>
      <c r="O80" s="21">
        <f t="shared" si="50"/>
        <v>10</v>
      </c>
      <c r="P80" s="26">
        <f t="shared" si="52"/>
        <v>3.7</v>
      </c>
      <c r="Q80" s="26">
        <f t="shared" si="51"/>
        <v>4.8</v>
      </c>
      <c r="R80" s="22">
        <f t="shared" si="43"/>
        <v>286</v>
      </c>
      <c r="S80" s="22">
        <f t="shared" si="44"/>
        <v>207</v>
      </c>
      <c r="T80" s="16">
        <f t="shared" si="45"/>
        <v>493</v>
      </c>
      <c r="U80" s="24">
        <f t="shared" si="48"/>
        <v>172</v>
      </c>
      <c r="V80" s="9">
        <v>100</v>
      </c>
      <c r="W80" s="24">
        <f t="shared" si="46"/>
        <v>100</v>
      </c>
      <c r="X80" s="48">
        <f aca="true" t="shared" si="53" ref="X80:X85">T80/F80</f>
        <v>4.089234034742478</v>
      </c>
      <c r="AB80">
        <f>178+AB79</f>
        <v>437.2000000000007</v>
      </c>
    </row>
    <row r="81" spans="1:24" ht="12.75">
      <c r="A81" s="28">
        <f t="shared" si="47"/>
        <v>71</v>
      </c>
      <c r="B81" s="187" t="s">
        <v>138</v>
      </c>
      <c r="C81" s="188"/>
      <c r="D81" s="18">
        <f>'[1]А-4'!$F$90</f>
        <v>8</v>
      </c>
      <c r="E81" s="92">
        <f>'[1]Норматив и фактически 2017'!$F$86</f>
        <v>609.2</v>
      </c>
      <c r="F81" s="112">
        <f t="shared" si="39"/>
        <v>470.71057498414336</v>
      </c>
      <c r="G81" s="70">
        <f t="shared" si="40"/>
        <v>302.0079049098264</v>
      </c>
      <c r="H81" s="70">
        <f t="shared" si="41"/>
        <v>168.70267007431698</v>
      </c>
      <c r="I81" s="26">
        <f t="shared" si="42"/>
        <v>88.5</v>
      </c>
      <c r="J81" s="19">
        <f>'[1]А-4'!G90</f>
        <v>50.1</v>
      </c>
      <c r="K81" s="26">
        <f>'[1]А-4'!$H$90</f>
        <v>38.400000000000006</v>
      </c>
      <c r="L81" s="26">
        <f>'[1]А-4'!$T$90</f>
        <v>14</v>
      </c>
      <c r="M81" s="21">
        <f>'[1]А-4'!$AF$90</f>
        <v>7</v>
      </c>
      <c r="N81" s="21">
        <f t="shared" si="49"/>
        <v>2.7944111776447107</v>
      </c>
      <c r="O81" s="21">
        <f t="shared" si="50"/>
        <v>1.823</v>
      </c>
      <c r="P81" s="26">
        <f t="shared" si="52"/>
        <v>1.3</v>
      </c>
      <c r="Q81" s="26">
        <f t="shared" si="51"/>
        <v>0.9</v>
      </c>
      <c r="R81" s="22">
        <f t="shared" si="43"/>
        <v>392</v>
      </c>
      <c r="S81" s="22">
        <f t="shared" si="44"/>
        <v>151</v>
      </c>
      <c r="T81" s="16">
        <f t="shared" si="45"/>
        <v>543</v>
      </c>
      <c r="U81" s="24">
        <f t="shared" si="48"/>
        <v>190</v>
      </c>
      <c r="V81" s="9"/>
      <c r="W81" s="24">
        <f>U81</f>
        <v>190</v>
      </c>
      <c r="X81" s="48">
        <f t="shared" si="53"/>
        <v>1.1535751029564012</v>
      </c>
    </row>
    <row r="82" spans="1:24" ht="12.75">
      <c r="A82" s="28">
        <f t="shared" si="47"/>
        <v>72</v>
      </c>
      <c r="B82" s="42" t="s">
        <v>136</v>
      </c>
      <c r="C82" s="43"/>
      <c r="D82" s="18">
        <f>'[1]А-4'!$F$92</f>
        <v>7</v>
      </c>
      <c r="E82" s="92">
        <f>'[1]Норматив и фактически 2017'!$F$87</f>
        <v>555</v>
      </c>
      <c r="F82" s="112">
        <f t="shared" si="39"/>
        <v>428.8318600068935</v>
      </c>
      <c r="G82" s="70">
        <f t="shared" si="40"/>
        <v>275.13852138042284</v>
      </c>
      <c r="H82" s="70">
        <f t="shared" si="41"/>
        <v>153.69333862647065</v>
      </c>
      <c r="I82" s="26">
        <f t="shared" si="42"/>
        <v>74.4</v>
      </c>
      <c r="J82" s="19">
        <f>'[1]А-4'!G92</f>
        <v>42.04</v>
      </c>
      <c r="K82" s="26">
        <f>'[1]А-4'!$H$92</f>
        <v>32.36</v>
      </c>
      <c r="L82" s="26">
        <f>'[1]А-4'!$T$92</f>
        <v>13</v>
      </c>
      <c r="M82" s="21">
        <f>'[1]А-4'!$AF$92</f>
        <v>12</v>
      </c>
      <c r="N82" s="21">
        <f t="shared" si="49"/>
        <v>3.0922930542340628</v>
      </c>
      <c r="O82" s="21">
        <f t="shared" si="50"/>
        <v>3.708</v>
      </c>
      <c r="P82" s="26">
        <f t="shared" si="52"/>
        <v>1.5</v>
      </c>
      <c r="Q82" s="26">
        <f t="shared" si="51"/>
        <v>1.8</v>
      </c>
      <c r="R82" s="22">
        <f t="shared" si="43"/>
        <v>412</v>
      </c>
      <c r="S82" s="22">
        <f t="shared" si="44"/>
        <v>276</v>
      </c>
      <c r="T82" s="16">
        <f t="shared" si="45"/>
        <v>688</v>
      </c>
      <c r="U82" s="24">
        <f t="shared" si="48"/>
        <v>240</v>
      </c>
      <c r="V82" s="9"/>
      <c r="W82" s="24">
        <f>U82</f>
        <v>240</v>
      </c>
      <c r="X82" s="48">
        <f t="shared" si="53"/>
        <v>1.604358407486189</v>
      </c>
    </row>
    <row r="83" spans="1:24" ht="12.75">
      <c r="A83" s="28">
        <f t="shared" si="47"/>
        <v>73</v>
      </c>
      <c r="B83" s="187" t="s">
        <v>135</v>
      </c>
      <c r="C83" s="188"/>
      <c r="D83" s="18">
        <f>'[1]А-4'!$F$93</f>
        <v>2</v>
      </c>
      <c r="E83" s="92">
        <f>'[1]Норматив и фактически 2017'!$F$88</f>
        <v>235.4</v>
      </c>
      <c r="F83" s="112">
        <f t="shared" si="39"/>
        <v>181.8865222443653</v>
      </c>
      <c r="G83" s="70">
        <f t="shared" si="40"/>
        <v>116.69839267198476</v>
      </c>
      <c r="H83" s="70">
        <f t="shared" si="41"/>
        <v>65.18812957238052</v>
      </c>
      <c r="I83" s="26">
        <f t="shared" si="42"/>
        <v>21.200000000000003</v>
      </c>
      <c r="J83" s="19">
        <f>'[1]А-4'!G93</f>
        <v>10.9</v>
      </c>
      <c r="K83" s="26">
        <f>'[1]А-4'!$H$93</f>
        <v>10.3</v>
      </c>
      <c r="L83" s="26">
        <f>'[1]А-4'!$T$93</f>
        <v>5</v>
      </c>
      <c r="M83" s="21">
        <f>'[1]А-4'!$AF$93</f>
        <v>1</v>
      </c>
      <c r="N83" s="21">
        <f t="shared" si="49"/>
        <v>4.587155963302752</v>
      </c>
      <c r="O83" s="21">
        <f t="shared" si="50"/>
        <v>0.971</v>
      </c>
      <c r="P83" s="26">
        <f t="shared" si="52"/>
        <v>2.2</v>
      </c>
      <c r="Q83" s="26">
        <f t="shared" si="51"/>
        <v>0.5</v>
      </c>
      <c r="R83" s="22">
        <f t="shared" si="43"/>
        <v>256</v>
      </c>
      <c r="S83" s="22">
        <f t="shared" si="44"/>
        <v>32</v>
      </c>
      <c r="T83" s="16">
        <f t="shared" si="45"/>
        <v>288</v>
      </c>
      <c r="U83" s="24">
        <f t="shared" si="48"/>
        <v>100</v>
      </c>
      <c r="V83" s="9">
        <v>0</v>
      </c>
      <c r="W83" s="24">
        <f>U83</f>
        <v>100</v>
      </c>
      <c r="X83" s="48">
        <f t="shared" si="53"/>
        <v>1.5834048419105557</v>
      </c>
    </row>
    <row r="84" spans="1:24" ht="12.75">
      <c r="A84" s="28">
        <f t="shared" si="47"/>
        <v>74</v>
      </c>
      <c r="B84" s="135" t="s">
        <v>17</v>
      </c>
      <c r="C84" s="136"/>
      <c r="D84" s="125">
        <f>'[1]А-4'!$F$94</f>
        <v>6</v>
      </c>
      <c r="E84" s="134">
        <f>'[1]Норматив и фактически 2017'!$F$89</f>
        <v>526.4</v>
      </c>
      <c r="F84" s="127">
        <f t="shared" si="39"/>
        <v>406.733497491223</v>
      </c>
      <c r="G84" s="128">
        <f t="shared" si="40"/>
        <v>260.96021199036863</v>
      </c>
      <c r="H84" s="128">
        <f t="shared" si="41"/>
        <v>145.7732855008543</v>
      </c>
      <c r="I84" s="129">
        <f t="shared" si="42"/>
        <v>68.3</v>
      </c>
      <c r="J84" s="125">
        <f>'[1]А-4'!G94</f>
        <v>49.099999999999994</v>
      </c>
      <c r="K84" s="129">
        <f>'[1]А-4'!$H$94</f>
        <v>19.2</v>
      </c>
      <c r="L84" s="129">
        <f>'[1]А-4'!$T$94</f>
        <v>15</v>
      </c>
      <c r="M84" s="130">
        <f>'[1]А-4'!$AF$94</f>
        <v>9</v>
      </c>
      <c r="N84" s="130">
        <f t="shared" si="49"/>
        <v>3.0549898167006115</v>
      </c>
      <c r="O84" s="130">
        <f t="shared" si="50"/>
        <v>4.688</v>
      </c>
      <c r="P84" s="129">
        <f t="shared" si="52"/>
        <v>1.5</v>
      </c>
      <c r="Q84" s="129">
        <f t="shared" si="51"/>
        <v>2.3</v>
      </c>
      <c r="R84" s="131">
        <f t="shared" si="43"/>
        <v>391</v>
      </c>
      <c r="S84" s="131">
        <f t="shared" si="44"/>
        <v>335</v>
      </c>
      <c r="T84" s="131">
        <f t="shared" si="45"/>
        <v>726</v>
      </c>
      <c r="U84" s="132">
        <v>0</v>
      </c>
      <c r="V84" s="133"/>
      <c r="W84" s="132">
        <f>IF(V84&lt;=U84,V84,U84)</f>
        <v>0</v>
      </c>
      <c r="X84" s="48">
        <f t="shared" si="53"/>
        <v>1.7849525659382568</v>
      </c>
    </row>
    <row r="85" spans="1:24" ht="12.75">
      <c r="A85" s="28">
        <f t="shared" si="47"/>
        <v>75</v>
      </c>
      <c r="B85" s="42" t="s">
        <v>65</v>
      </c>
      <c r="C85" s="43"/>
      <c r="D85" s="18">
        <f>'[1]А-4'!$F$96</f>
        <v>7</v>
      </c>
      <c r="E85" s="92">
        <f>'[1]Норматив и фактически 2017'!$F$90</f>
        <v>500.425</v>
      </c>
      <c r="F85" s="112">
        <f t="shared" si="39"/>
        <v>386.66339377288233</v>
      </c>
      <c r="G85" s="70">
        <f t="shared" si="40"/>
        <v>248.08323344468127</v>
      </c>
      <c r="H85" s="70">
        <f t="shared" si="41"/>
        <v>138.58016032820103</v>
      </c>
      <c r="I85" s="26">
        <f t="shared" si="42"/>
        <v>76.8</v>
      </c>
      <c r="J85" s="19">
        <f>'[1]А-4'!G96</f>
        <v>41.8</v>
      </c>
      <c r="K85" s="26">
        <f>'[1]А-4'!$H$96</f>
        <v>35</v>
      </c>
      <c r="L85" s="26">
        <f>'[1]А-4'!$T$96</f>
        <v>24</v>
      </c>
      <c r="M85" s="21">
        <f>'[1]А-4'!$AF$96</f>
        <v>16</v>
      </c>
      <c r="N85" s="21">
        <f>L85*10/J85</f>
        <v>5.741626794258374</v>
      </c>
      <c r="O85" s="21">
        <f>ROUND(M85/K85*10,3)</f>
        <v>4.571</v>
      </c>
      <c r="P85" s="26">
        <f t="shared" si="52"/>
        <v>2.8</v>
      </c>
      <c r="Q85" s="26">
        <f t="shared" si="51"/>
        <v>2.2</v>
      </c>
      <c r="R85" s="22">
        <f t="shared" si="43"/>
        <v>694</v>
      </c>
      <c r="S85" s="22">
        <f t="shared" si="44"/>
        <v>304</v>
      </c>
      <c r="T85" s="16">
        <f t="shared" si="45"/>
        <v>998</v>
      </c>
      <c r="U85" s="24">
        <f t="shared" si="48"/>
        <v>349</v>
      </c>
      <c r="V85" s="9">
        <v>0</v>
      </c>
      <c r="W85" s="24">
        <f>IF(V85&lt;=U85,V85,U85)</f>
        <v>0</v>
      </c>
      <c r="X85" s="48">
        <f t="shared" si="53"/>
        <v>2.581056329801428</v>
      </c>
    </row>
    <row r="86" spans="1:23" ht="12.75">
      <c r="A86" s="28">
        <f t="shared" si="47"/>
        <v>76</v>
      </c>
      <c r="B86" s="189"/>
      <c r="C86" s="189"/>
      <c r="D86" s="9"/>
      <c r="E86" s="9"/>
      <c r="F86" s="10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9"/>
      <c r="U86" s="9"/>
      <c r="V86" s="9"/>
      <c r="W86" s="9"/>
    </row>
    <row r="87" spans="1:23" ht="12.75">
      <c r="A87" s="28">
        <f t="shared" si="47"/>
        <v>77</v>
      </c>
      <c r="B87" s="189"/>
      <c r="C87" s="189"/>
      <c r="D87" s="9"/>
      <c r="E87" s="9"/>
      <c r="F87" s="10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9"/>
      <c r="U87" s="9"/>
      <c r="V87" s="9"/>
      <c r="W87" s="9"/>
    </row>
    <row r="88" spans="1:23" ht="15" customHeight="1">
      <c r="A88" s="28">
        <f t="shared" si="47"/>
        <v>78</v>
      </c>
      <c r="B88" s="189"/>
      <c r="C88" s="189"/>
      <c r="D88" s="9"/>
      <c r="E88" s="9"/>
      <c r="F88" s="10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9"/>
      <c r="U88" s="9"/>
      <c r="V88" s="9"/>
      <c r="W88" s="9"/>
    </row>
    <row r="89" spans="1:30" ht="30.75" customHeight="1">
      <c r="A89" s="194" t="s">
        <v>90</v>
      </c>
      <c r="B89" s="195"/>
      <c r="C89" s="196"/>
      <c r="D89" s="78">
        <f aca="true" t="shared" si="54" ref="D89:M89">SUM(D90:D112)</f>
        <v>41</v>
      </c>
      <c r="E89" s="78">
        <f t="shared" si="54"/>
        <v>10197.523000000001</v>
      </c>
      <c r="F89" s="78">
        <f t="shared" si="54"/>
        <v>6322.224365320526</v>
      </c>
      <c r="G89" s="78">
        <f t="shared" si="54"/>
        <v>2153.349618828171</v>
      </c>
      <c r="H89" s="78">
        <f t="shared" si="54"/>
        <v>4168.8747464923545</v>
      </c>
      <c r="I89" s="78">
        <f t="shared" si="54"/>
        <v>577.4200000000001</v>
      </c>
      <c r="J89" s="78">
        <f t="shared" si="54"/>
        <v>357.7400000000001</v>
      </c>
      <c r="K89" s="78">
        <f t="shared" si="54"/>
        <v>219.67999999999998</v>
      </c>
      <c r="L89" s="78">
        <f t="shared" si="54"/>
        <v>88</v>
      </c>
      <c r="M89" s="78">
        <f t="shared" si="54"/>
        <v>27</v>
      </c>
      <c r="N89" s="74">
        <f>ROUND(L89/J89*10,2)</f>
        <v>2.46</v>
      </c>
      <c r="O89" s="74">
        <f>ROUND(M89/K89*10,3)</f>
        <v>1.229</v>
      </c>
      <c r="P89" s="76">
        <f aca="true" t="shared" si="55" ref="P89:P106">ROUND(N89*$M$5,1)</f>
        <v>1.2</v>
      </c>
      <c r="Q89" s="76">
        <f aca="true" t="shared" si="56" ref="Q89:Q106">ROUND(O89*$M$5,1)</f>
        <v>0.6</v>
      </c>
      <c r="R89" s="78">
        <f aca="true" t="shared" si="57" ref="R89:W89">SUM(R90:R112)</f>
        <v>1514</v>
      </c>
      <c r="S89" s="78">
        <f t="shared" si="57"/>
        <v>1324</v>
      </c>
      <c r="T89" s="78">
        <f t="shared" si="57"/>
        <v>2838</v>
      </c>
      <c r="U89" s="78">
        <f t="shared" si="57"/>
        <v>983</v>
      </c>
      <c r="V89" s="78">
        <f t="shared" si="57"/>
        <v>1352</v>
      </c>
      <c r="W89" s="78">
        <f t="shared" si="57"/>
        <v>671</v>
      </c>
      <c r="X89" s="48"/>
      <c r="Y89" s="53">
        <f>6325/10202</f>
        <v>0.619976475200941</v>
      </c>
      <c r="AB89">
        <v>3408</v>
      </c>
      <c r="AD89" s="20">
        <f>AB89-T89</f>
        <v>570</v>
      </c>
    </row>
    <row r="90" spans="1:24" ht="12.75">
      <c r="A90" s="28">
        <v>79</v>
      </c>
      <c r="B90" s="80" t="s">
        <v>33</v>
      </c>
      <c r="C90" s="81"/>
      <c r="D90" s="18">
        <f>'[1]А-4'!$F$111</f>
        <v>0</v>
      </c>
      <c r="E90" s="95">
        <f>'[1]Норматив и фактически 2017'!$F$95</f>
        <v>215.5</v>
      </c>
      <c r="F90" s="112">
        <f aca="true" t="shared" si="58" ref="F90:F106">E90*$Y$89</f>
        <v>133.60493040580278</v>
      </c>
      <c r="G90" s="70">
        <f aca="true" t="shared" si="59" ref="G90:G106">F90*0.3406</f>
        <v>45.50583929621643</v>
      </c>
      <c r="H90" s="70">
        <f aca="true" t="shared" si="60" ref="H90:H106">F90*0.6594</f>
        <v>88.09909110958635</v>
      </c>
      <c r="I90" s="26">
        <f aca="true" t="shared" si="61" ref="I90:I106">J90+K90</f>
        <v>0</v>
      </c>
      <c r="J90" s="19">
        <f>'[1]А-4'!G111</f>
        <v>0</v>
      </c>
      <c r="K90" s="26">
        <f>'[1]А-4'!$H$111</f>
        <v>0</v>
      </c>
      <c r="L90" s="26">
        <f>'[1]А-4'!$T$111</f>
        <v>0</v>
      </c>
      <c r="M90" s="21">
        <f>'[1]А-4'!$AF$111</f>
        <v>0</v>
      </c>
      <c r="N90" s="21"/>
      <c r="O90" s="21"/>
      <c r="P90" s="26">
        <f t="shared" si="55"/>
        <v>0</v>
      </c>
      <c r="Q90" s="26">
        <f t="shared" si="56"/>
        <v>0</v>
      </c>
      <c r="R90" s="22">
        <f aca="true" t="shared" si="62" ref="R90:R106">ROUNDDOWN((P90*G90),0)</f>
        <v>0</v>
      </c>
      <c r="S90" s="22">
        <f aca="true" t="shared" si="63" ref="S90:S106">ROUNDDOWN((Q90*H90),0)</f>
        <v>0</v>
      </c>
      <c r="T90" s="16">
        <f aca="true" t="shared" si="64" ref="T90:T106">R90+S90</f>
        <v>0</v>
      </c>
      <c r="U90" s="24">
        <f>ROUNDDOWN(IF(T90&lt;$O$3,"0",T90*35/100),0)</f>
        <v>0</v>
      </c>
      <c r="V90" s="9">
        <v>0</v>
      </c>
      <c r="W90" s="24">
        <f aca="true" t="shared" si="65" ref="W90:W106">IF(V90&lt;=U90,V90,U90)</f>
        <v>0</v>
      </c>
      <c r="X90" s="48">
        <f aca="true" t="shared" si="66" ref="X90:X106">T90/F90</f>
        <v>0</v>
      </c>
    </row>
    <row r="91" spans="1:24" ht="12.75">
      <c r="A91" s="28">
        <v>80</v>
      </c>
      <c r="B91" s="192" t="s">
        <v>71</v>
      </c>
      <c r="C91" s="193"/>
      <c r="D91" s="18">
        <f>'[1]А-4'!$F$112</f>
        <v>0</v>
      </c>
      <c r="E91" s="95">
        <f>'[1]Норматив и фактически 2017'!$F$96</f>
        <v>917.285</v>
      </c>
      <c r="F91" s="112">
        <f t="shared" si="58"/>
        <v>568.6951210546952</v>
      </c>
      <c r="G91" s="70">
        <f t="shared" si="59"/>
        <v>193.69755823122918</v>
      </c>
      <c r="H91" s="70">
        <f t="shared" si="60"/>
        <v>374.99756282346596</v>
      </c>
      <c r="I91" s="26">
        <f t="shared" si="61"/>
        <v>0</v>
      </c>
      <c r="J91" s="19">
        <f>'[1]А-4'!G112</f>
        <v>0</v>
      </c>
      <c r="K91" s="26">
        <f>'[1]А-4'!$H$112</f>
        <v>0</v>
      </c>
      <c r="L91" s="26">
        <f>'[1]А-4'!$T$112</f>
        <v>0</v>
      </c>
      <c r="M91" s="21">
        <f>'[1]А-4'!$AF$112</f>
        <v>0</v>
      </c>
      <c r="N91" s="21"/>
      <c r="O91" s="21"/>
      <c r="P91" s="26">
        <f t="shared" si="55"/>
        <v>0</v>
      </c>
      <c r="Q91" s="26">
        <f t="shared" si="56"/>
        <v>0</v>
      </c>
      <c r="R91" s="22">
        <f t="shared" si="62"/>
        <v>0</v>
      </c>
      <c r="S91" s="22">
        <f t="shared" si="63"/>
        <v>0</v>
      </c>
      <c r="T91" s="16">
        <f t="shared" si="64"/>
        <v>0</v>
      </c>
      <c r="U91" s="24">
        <f aca="true" t="shared" si="67" ref="U91:U104">ROUNDDOWN(IF(T91&lt;$O$3,"0",T91*35/100),0)</f>
        <v>0</v>
      </c>
      <c r="V91" s="9">
        <v>276</v>
      </c>
      <c r="W91" s="24">
        <f t="shared" si="65"/>
        <v>0</v>
      </c>
      <c r="X91" s="48">
        <f t="shared" si="66"/>
        <v>0</v>
      </c>
    </row>
    <row r="92" spans="1:24" ht="12.75">
      <c r="A92" s="28">
        <v>81</v>
      </c>
      <c r="B92" s="10" t="s">
        <v>69</v>
      </c>
      <c r="C92" s="10"/>
      <c r="D92" s="18">
        <f>'[1]А-4'!$F$113</f>
        <v>2</v>
      </c>
      <c r="E92" s="95">
        <f>'[1]Норматив и фактически 2017'!$F$97</f>
        <v>306.857</v>
      </c>
      <c r="F92" s="112">
        <f t="shared" si="58"/>
        <v>190.24412125073516</v>
      </c>
      <c r="G92" s="70">
        <f t="shared" si="59"/>
        <v>64.7971476980004</v>
      </c>
      <c r="H92" s="70">
        <f t="shared" si="60"/>
        <v>125.44697355273476</v>
      </c>
      <c r="I92" s="26">
        <f t="shared" si="61"/>
        <v>23.91</v>
      </c>
      <c r="J92" s="19">
        <f>'[1]А-4'!G113</f>
        <v>6.2</v>
      </c>
      <c r="K92" s="26">
        <f>'[1]А-4'!$H$113</f>
        <v>17.71</v>
      </c>
      <c r="L92" s="26">
        <f>'[1]А-4'!$T$113</f>
        <v>0</v>
      </c>
      <c r="M92" s="21">
        <f>'[1]А-4'!$AF$113</f>
        <v>5</v>
      </c>
      <c r="N92" s="21">
        <f aca="true" t="shared" si="68" ref="N92:N104">L92*10/J92</f>
        <v>0</v>
      </c>
      <c r="O92" s="21">
        <f>ROUND(M92/K92*10,3)</f>
        <v>2.823</v>
      </c>
      <c r="P92" s="26">
        <f t="shared" si="55"/>
        <v>0</v>
      </c>
      <c r="Q92" s="26">
        <f t="shared" si="56"/>
        <v>1.4</v>
      </c>
      <c r="R92" s="22">
        <f t="shared" si="62"/>
        <v>0</v>
      </c>
      <c r="S92" s="22">
        <f t="shared" si="63"/>
        <v>175</v>
      </c>
      <c r="T92" s="16">
        <f t="shared" si="64"/>
        <v>175</v>
      </c>
      <c r="U92" s="24">
        <f t="shared" si="67"/>
        <v>61</v>
      </c>
      <c r="V92" s="9">
        <v>100</v>
      </c>
      <c r="W92" s="24">
        <f t="shared" si="65"/>
        <v>61</v>
      </c>
      <c r="X92" s="48">
        <f t="shared" si="66"/>
        <v>0.9198707368694776</v>
      </c>
    </row>
    <row r="93" spans="1:24" ht="12.75">
      <c r="A93" s="28">
        <v>82</v>
      </c>
      <c r="B93" s="10" t="s">
        <v>68</v>
      </c>
      <c r="C93" s="10"/>
      <c r="D93" s="18">
        <f>'[1]А-4'!$F$114</f>
        <v>0</v>
      </c>
      <c r="E93" s="95">
        <f>'[1]Норматив и фактически 2017'!$F$98</f>
        <v>176.709</v>
      </c>
      <c r="F93" s="112">
        <f t="shared" si="58"/>
        <v>109.55542295628308</v>
      </c>
      <c r="G93" s="70">
        <f t="shared" si="59"/>
        <v>37.31457705891002</v>
      </c>
      <c r="H93" s="70">
        <f t="shared" si="60"/>
        <v>72.24084589737306</v>
      </c>
      <c r="I93" s="26">
        <f t="shared" si="61"/>
        <v>0</v>
      </c>
      <c r="J93" s="19">
        <f>'[1]А-4'!G114</f>
        <v>0</v>
      </c>
      <c r="K93" s="26">
        <f>'[1]А-4'!$H$114</f>
        <v>0</v>
      </c>
      <c r="L93" s="26">
        <f>'[1]А-4'!$T$114</f>
        <v>0</v>
      </c>
      <c r="M93" s="21">
        <f>'[1]А-4'!$AF$114</f>
        <v>0</v>
      </c>
      <c r="N93" s="21"/>
      <c r="O93" s="21"/>
      <c r="P93" s="26">
        <f t="shared" si="55"/>
        <v>0</v>
      </c>
      <c r="Q93" s="26">
        <f t="shared" si="56"/>
        <v>0</v>
      </c>
      <c r="R93" s="22">
        <f t="shared" si="62"/>
        <v>0</v>
      </c>
      <c r="S93" s="22">
        <f t="shared" si="63"/>
        <v>0</v>
      </c>
      <c r="T93" s="16">
        <f t="shared" si="64"/>
        <v>0</v>
      </c>
      <c r="U93" s="24">
        <f t="shared" si="67"/>
        <v>0</v>
      </c>
      <c r="V93" s="9">
        <v>80</v>
      </c>
      <c r="W93" s="24">
        <f t="shared" si="65"/>
        <v>0</v>
      </c>
      <c r="X93" s="48">
        <f t="shared" si="66"/>
        <v>0</v>
      </c>
    </row>
    <row r="94" spans="1:24" ht="16.5" customHeight="1">
      <c r="A94" s="28">
        <v>83</v>
      </c>
      <c r="B94" s="12" t="s">
        <v>53</v>
      </c>
      <c r="C94" s="9"/>
      <c r="D94" s="18">
        <f>'[1]А-4'!$F$115</f>
        <v>0</v>
      </c>
      <c r="E94" s="95">
        <f>'[1]Норматив и фактически 2017'!$F$99</f>
        <v>344.676</v>
      </c>
      <c r="F94" s="112">
        <f t="shared" si="58"/>
        <v>213.69101156635955</v>
      </c>
      <c r="G94" s="70">
        <f t="shared" si="59"/>
        <v>72.78315853950207</v>
      </c>
      <c r="H94" s="70">
        <f t="shared" si="60"/>
        <v>140.90785302685748</v>
      </c>
      <c r="I94" s="26">
        <f t="shared" si="61"/>
        <v>0</v>
      </c>
      <c r="J94" s="19">
        <f>'[1]А-4'!G115</f>
        <v>0</v>
      </c>
      <c r="K94" s="26">
        <f>'[1]А-4'!$H$115</f>
        <v>0</v>
      </c>
      <c r="L94" s="26">
        <f>'[1]А-4'!$T$115</f>
        <v>0</v>
      </c>
      <c r="M94" s="21">
        <f>'[1]А-4'!$AF$115</f>
        <v>0</v>
      </c>
      <c r="N94" s="21"/>
      <c r="O94" s="21"/>
      <c r="P94" s="26">
        <f t="shared" si="55"/>
        <v>0</v>
      </c>
      <c r="Q94" s="26">
        <f t="shared" si="56"/>
        <v>0</v>
      </c>
      <c r="R94" s="22">
        <f t="shared" si="62"/>
        <v>0</v>
      </c>
      <c r="S94" s="22">
        <f t="shared" si="63"/>
        <v>0</v>
      </c>
      <c r="T94" s="16">
        <f t="shared" si="64"/>
        <v>0</v>
      </c>
      <c r="U94" s="24">
        <f t="shared" si="67"/>
        <v>0</v>
      </c>
      <c r="V94" s="9">
        <v>100</v>
      </c>
      <c r="W94" s="24">
        <f t="shared" si="65"/>
        <v>0</v>
      </c>
      <c r="X94" s="48">
        <f t="shared" si="66"/>
        <v>0</v>
      </c>
    </row>
    <row r="95" spans="1:24" ht="15.75" customHeight="1">
      <c r="A95" s="28">
        <v>84</v>
      </c>
      <c r="B95" s="11" t="s">
        <v>54</v>
      </c>
      <c r="C95" s="7"/>
      <c r="D95" s="18">
        <f>'[1]А-4'!$F$116</f>
        <v>2</v>
      </c>
      <c r="E95" s="95">
        <f>'[1]Норматив и фактически 2017'!$F$100</f>
        <v>474.722</v>
      </c>
      <c r="F95" s="112">
        <f t="shared" si="58"/>
        <v>294.31647226034113</v>
      </c>
      <c r="G95" s="70">
        <f t="shared" si="59"/>
        <v>100.24419045187219</v>
      </c>
      <c r="H95" s="70">
        <f t="shared" si="60"/>
        <v>194.07228180846894</v>
      </c>
      <c r="I95" s="26">
        <f t="shared" si="61"/>
        <v>19.5</v>
      </c>
      <c r="J95" s="19">
        <f>'[1]А-4'!G116</f>
        <v>14.4</v>
      </c>
      <c r="K95" s="26">
        <f>'[1]А-4'!$H$116</f>
        <v>5.1</v>
      </c>
      <c r="L95" s="26">
        <f>'[1]А-4'!$T$116</f>
        <v>4</v>
      </c>
      <c r="M95" s="21">
        <f>'[1]А-4'!$AF$116</f>
        <v>4</v>
      </c>
      <c r="N95" s="21">
        <f t="shared" si="68"/>
        <v>2.7777777777777777</v>
      </c>
      <c r="O95" s="21">
        <f>ROUND(M95/K95*10,3)</f>
        <v>7.843</v>
      </c>
      <c r="P95" s="26">
        <f t="shared" si="55"/>
        <v>1.3</v>
      </c>
      <c r="Q95" s="26">
        <f t="shared" si="56"/>
        <v>3.8</v>
      </c>
      <c r="R95" s="22">
        <f t="shared" si="62"/>
        <v>130</v>
      </c>
      <c r="S95" s="22">
        <f t="shared" si="63"/>
        <v>737</v>
      </c>
      <c r="T95" s="16">
        <f t="shared" si="64"/>
        <v>867</v>
      </c>
      <c r="U95" s="24">
        <f t="shared" si="67"/>
        <v>303</v>
      </c>
      <c r="V95" s="9">
        <v>100</v>
      </c>
      <c r="W95" s="24">
        <f t="shared" si="65"/>
        <v>100</v>
      </c>
      <c r="X95" s="48">
        <f t="shared" si="66"/>
        <v>2.9458086166277666</v>
      </c>
    </row>
    <row r="96" spans="1:24" ht="12.75">
      <c r="A96" s="28">
        <v>85</v>
      </c>
      <c r="B96" s="80" t="s">
        <v>40</v>
      </c>
      <c r="C96" s="81"/>
      <c r="D96" s="18">
        <f>'[1]А-4'!$F$117</f>
        <v>3</v>
      </c>
      <c r="E96" s="95">
        <f>'[1]Норматив и фактически 2017'!$F$101</f>
        <v>75.842</v>
      </c>
      <c r="F96" s="112">
        <f t="shared" si="58"/>
        <v>47.02025583218977</v>
      </c>
      <c r="G96" s="70">
        <f t="shared" si="59"/>
        <v>16.015099136443837</v>
      </c>
      <c r="H96" s="70">
        <f t="shared" si="60"/>
        <v>31.00515669574593</v>
      </c>
      <c r="I96" s="26">
        <f t="shared" si="61"/>
        <v>30.900000000000002</v>
      </c>
      <c r="J96" s="19">
        <f>'[1]А-4'!G117</f>
        <v>30.900000000000002</v>
      </c>
      <c r="K96" s="26">
        <f>'[1]А-4'!$H$117</f>
        <v>0</v>
      </c>
      <c r="L96" s="26">
        <f>'[1]А-4'!$T$117</f>
        <v>8</v>
      </c>
      <c r="M96" s="21">
        <f>'[1]А-4'!$AF$117</f>
        <v>0</v>
      </c>
      <c r="N96" s="21">
        <f t="shared" si="68"/>
        <v>2.588996763754045</v>
      </c>
      <c r="O96" s="21"/>
      <c r="P96" s="26">
        <f t="shared" si="55"/>
        <v>1.2</v>
      </c>
      <c r="Q96" s="26">
        <f t="shared" si="56"/>
        <v>0</v>
      </c>
      <c r="R96" s="22">
        <f t="shared" si="62"/>
        <v>19</v>
      </c>
      <c r="S96" s="22">
        <f t="shared" si="63"/>
        <v>0</v>
      </c>
      <c r="T96" s="16">
        <f t="shared" si="64"/>
        <v>19</v>
      </c>
      <c r="U96" s="24">
        <f t="shared" si="67"/>
        <v>0</v>
      </c>
      <c r="V96" s="9">
        <v>0</v>
      </c>
      <c r="W96" s="24">
        <f t="shared" si="65"/>
        <v>0</v>
      </c>
      <c r="X96" s="48">
        <f t="shared" si="66"/>
        <v>0.40408117020479334</v>
      </c>
    </row>
    <row r="97" spans="1:24" ht="12.75">
      <c r="A97" s="28">
        <v>86</v>
      </c>
      <c r="B97" s="33" t="s">
        <v>46</v>
      </c>
      <c r="C97" s="34"/>
      <c r="D97" s="18">
        <f>'[1]А-4'!$F$118</f>
        <v>4</v>
      </c>
      <c r="E97" s="95">
        <f>'[1]Норматив и фактически 2017'!$F$102</f>
        <v>243.367</v>
      </c>
      <c r="F97" s="112">
        <f t="shared" si="58"/>
        <v>150.8818148402274</v>
      </c>
      <c r="G97" s="70">
        <f t="shared" si="59"/>
        <v>51.390346134581456</v>
      </c>
      <c r="H97" s="70">
        <f t="shared" si="60"/>
        <v>99.49146870564594</v>
      </c>
      <c r="I97" s="26">
        <f t="shared" si="61"/>
        <v>46.02</v>
      </c>
      <c r="J97" s="19">
        <f>'[1]А-4'!G118</f>
        <v>32.84</v>
      </c>
      <c r="K97" s="26">
        <f>'[1]А-4'!$H$118</f>
        <v>13.18</v>
      </c>
      <c r="L97" s="26">
        <f>'[1]А-4'!$T$118</f>
        <v>19</v>
      </c>
      <c r="M97" s="21">
        <f>'[1]А-4'!$AF$118</f>
        <v>6</v>
      </c>
      <c r="N97" s="21">
        <f t="shared" si="68"/>
        <v>5.785627283800243</v>
      </c>
      <c r="O97" s="21">
        <f>ROUND(M97/K97*10,3)</f>
        <v>4.552</v>
      </c>
      <c r="P97" s="26">
        <f t="shared" si="55"/>
        <v>2.8</v>
      </c>
      <c r="Q97" s="26">
        <f t="shared" si="56"/>
        <v>2.2</v>
      </c>
      <c r="R97" s="22">
        <f t="shared" si="62"/>
        <v>143</v>
      </c>
      <c r="S97" s="22">
        <f t="shared" si="63"/>
        <v>218</v>
      </c>
      <c r="T97" s="16">
        <f t="shared" si="64"/>
        <v>361</v>
      </c>
      <c r="U97" s="24">
        <f t="shared" si="67"/>
        <v>126</v>
      </c>
      <c r="V97" s="9">
        <v>100</v>
      </c>
      <c r="W97" s="24">
        <f t="shared" si="65"/>
        <v>100</v>
      </c>
      <c r="X97" s="48">
        <f t="shared" si="66"/>
        <v>2.3926011254720927</v>
      </c>
    </row>
    <row r="98" spans="1:24" ht="12.75">
      <c r="A98" s="28">
        <v>87</v>
      </c>
      <c r="B98" s="137" t="s">
        <v>18</v>
      </c>
      <c r="C98" s="138"/>
      <c r="D98" s="125">
        <f>'[1]А-4'!$F$119</f>
        <v>0</v>
      </c>
      <c r="E98" s="134">
        <f>'[1]Норматив и фактически 2017'!$F$103</f>
        <v>350</v>
      </c>
      <c r="F98" s="127">
        <f t="shared" si="58"/>
        <v>216.99176632032936</v>
      </c>
      <c r="G98" s="128">
        <f t="shared" si="59"/>
        <v>73.90739560870418</v>
      </c>
      <c r="H98" s="128">
        <f t="shared" si="60"/>
        <v>143.08437071162518</v>
      </c>
      <c r="I98" s="129">
        <f t="shared" si="61"/>
        <v>0</v>
      </c>
      <c r="J98" s="125">
        <f>'[1]А-4'!G119</f>
        <v>0</v>
      </c>
      <c r="K98" s="129">
        <f>'[1]А-4'!$H$119</f>
        <v>0</v>
      </c>
      <c r="L98" s="129">
        <f>'[1]А-4'!$T$119</f>
        <v>0</v>
      </c>
      <c r="M98" s="130">
        <f>'[1]А-4'!$AF$119</f>
        <v>0</v>
      </c>
      <c r="N98" s="130"/>
      <c r="O98" s="130"/>
      <c r="P98" s="129">
        <f t="shared" si="55"/>
        <v>0</v>
      </c>
      <c r="Q98" s="129">
        <f t="shared" si="56"/>
        <v>0</v>
      </c>
      <c r="R98" s="131">
        <f t="shared" si="62"/>
        <v>0</v>
      </c>
      <c r="S98" s="131">
        <f t="shared" si="63"/>
        <v>0</v>
      </c>
      <c r="T98" s="131">
        <f t="shared" si="64"/>
        <v>0</v>
      </c>
      <c r="U98" s="132">
        <f t="shared" si="67"/>
        <v>0</v>
      </c>
      <c r="V98" s="133"/>
      <c r="W98" s="132">
        <f t="shared" si="65"/>
        <v>0</v>
      </c>
      <c r="X98" s="48">
        <f t="shared" si="66"/>
        <v>0</v>
      </c>
    </row>
    <row r="99" spans="1:24" ht="12.75">
      <c r="A99" s="28">
        <v>88</v>
      </c>
      <c r="B99" s="33" t="s">
        <v>29</v>
      </c>
      <c r="C99" s="34"/>
      <c r="D99" s="18">
        <f>'[1]А-4'!$F$120</f>
        <v>18</v>
      </c>
      <c r="E99" s="95">
        <f>'[1]Норматив и фактически 2017'!$F$104</f>
        <v>5398</v>
      </c>
      <c r="F99" s="112">
        <f t="shared" si="58"/>
        <v>3346.6330131346795</v>
      </c>
      <c r="G99" s="70">
        <f t="shared" si="59"/>
        <v>1139.863204273672</v>
      </c>
      <c r="H99" s="70">
        <f t="shared" si="60"/>
        <v>2206.7698088610077</v>
      </c>
      <c r="I99" s="26">
        <f t="shared" si="61"/>
        <v>328.88</v>
      </c>
      <c r="J99" s="19">
        <f>'[1]А-4'!G120</f>
        <v>198.86</v>
      </c>
      <c r="K99" s="26">
        <f>'[1]А-4'!$H$120</f>
        <v>130.01999999999998</v>
      </c>
      <c r="L99" s="26">
        <f>'[1]А-4'!$T$120</f>
        <v>39</v>
      </c>
      <c r="M99" s="21">
        <f>'[1]А-4'!$AF$120</f>
        <v>1</v>
      </c>
      <c r="N99" s="21">
        <f t="shared" si="68"/>
        <v>1.9611787186965703</v>
      </c>
      <c r="O99" s="21">
        <f>ROUND(M99/K99*10,3)</f>
        <v>0.077</v>
      </c>
      <c r="P99" s="26">
        <f t="shared" si="55"/>
        <v>0.9</v>
      </c>
      <c r="Q99" s="26">
        <f t="shared" si="56"/>
        <v>0</v>
      </c>
      <c r="R99" s="22">
        <f t="shared" si="62"/>
        <v>1025</v>
      </c>
      <c r="S99" s="22">
        <f t="shared" si="63"/>
        <v>0</v>
      </c>
      <c r="T99" s="16">
        <f t="shared" si="64"/>
        <v>1025</v>
      </c>
      <c r="U99" s="24">
        <v>309</v>
      </c>
      <c r="V99" s="9"/>
      <c r="W99" s="24">
        <v>309</v>
      </c>
      <c r="X99" s="48">
        <f t="shared" si="66"/>
        <v>0.3062779802796234</v>
      </c>
    </row>
    <row r="100" spans="1:24" ht="12.75">
      <c r="A100" s="28">
        <v>89</v>
      </c>
      <c r="B100" s="42" t="s">
        <v>70</v>
      </c>
      <c r="C100" s="43"/>
      <c r="D100" s="18">
        <f>'[1]А-4'!$F$121</f>
        <v>0</v>
      </c>
      <c r="E100" s="95">
        <f>'[1]Норматив и фактически 2017'!$F$105</f>
        <v>255.665</v>
      </c>
      <c r="F100" s="112">
        <f t="shared" si="58"/>
        <v>158.50628553224857</v>
      </c>
      <c r="G100" s="70">
        <f t="shared" si="59"/>
        <v>53.98724085228387</v>
      </c>
      <c r="H100" s="70">
        <f t="shared" si="60"/>
        <v>104.51904467996471</v>
      </c>
      <c r="I100" s="26">
        <f t="shared" si="61"/>
        <v>0</v>
      </c>
      <c r="J100" s="19">
        <f>'[1]А-4'!G121</f>
        <v>0</v>
      </c>
      <c r="K100" s="26">
        <f>'[1]А-4'!$H$121</f>
        <v>0</v>
      </c>
      <c r="L100" s="26">
        <f>'[1]А-4'!$T$121</f>
        <v>0</v>
      </c>
      <c r="M100" s="21">
        <f>'[1]А-4'!$AF$121</f>
        <v>0</v>
      </c>
      <c r="N100" s="21"/>
      <c r="O100" s="21"/>
      <c r="P100" s="26">
        <f t="shared" si="55"/>
        <v>0</v>
      </c>
      <c r="Q100" s="26">
        <f t="shared" si="56"/>
        <v>0</v>
      </c>
      <c r="R100" s="22">
        <f t="shared" si="62"/>
        <v>0</v>
      </c>
      <c r="S100" s="22">
        <f t="shared" si="63"/>
        <v>0</v>
      </c>
      <c r="T100" s="16">
        <f t="shared" si="64"/>
        <v>0</v>
      </c>
      <c r="U100" s="24">
        <f t="shared" si="67"/>
        <v>0</v>
      </c>
      <c r="V100" s="9">
        <v>0</v>
      </c>
      <c r="W100" s="24">
        <f t="shared" si="65"/>
        <v>0</v>
      </c>
      <c r="X100" s="48">
        <f t="shared" si="66"/>
        <v>0</v>
      </c>
    </row>
    <row r="101" spans="1:24" ht="12.75">
      <c r="A101" s="28">
        <v>90</v>
      </c>
      <c r="B101" s="8" t="s">
        <v>43</v>
      </c>
      <c r="C101" s="9"/>
      <c r="D101" s="18">
        <f>'[1]А-4'!$F$122</f>
        <v>1</v>
      </c>
      <c r="E101" s="95">
        <f>'[1]Норматив и фактически 2017'!$F$106</f>
        <v>190.214</v>
      </c>
      <c r="F101" s="112">
        <f t="shared" si="58"/>
        <v>117.9282052538718</v>
      </c>
      <c r="G101" s="70">
        <f t="shared" si="59"/>
        <v>40.16634670946873</v>
      </c>
      <c r="H101" s="70">
        <f t="shared" si="60"/>
        <v>77.76185854440305</v>
      </c>
      <c r="I101" s="26">
        <f t="shared" si="61"/>
        <v>10.6</v>
      </c>
      <c r="J101" s="26">
        <f>'[1]А-4'!G122</f>
        <v>10.6</v>
      </c>
      <c r="K101" s="26">
        <f>'[1]А-4'!$H$122</f>
        <v>0</v>
      </c>
      <c r="L101" s="26">
        <f>'[1]А-4'!$T$122</f>
        <v>2</v>
      </c>
      <c r="M101" s="21">
        <f>'[1]А-4'!$AF$122</f>
        <v>0</v>
      </c>
      <c r="N101" s="21">
        <f t="shared" si="68"/>
        <v>1.8867924528301887</v>
      </c>
      <c r="O101" s="21"/>
      <c r="P101" s="26">
        <f t="shared" si="55"/>
        <v>0.9</v>
      </c>
      <c r="Q101" s="26">
        <f t="shared" si="56"/>
        <v>0</v>
      </c>
      <c r="R101" s="22">
        <f t="shared" si="62"/>
        <v>36</v>
      </c>
      <c r="S101" s="22">
        <f t="shared" si="63"/>
        <v>0</v>
      </c>
      <c r="T101" s="16">
        <f t="shared" si="64"/>
        <v>36</v>
      </c>
      <c r="U101" s="24">
        <f t="shared" si="67"/>
        <v>12</v>
      </c>
      <c r="V101" s="9">
        <v>263</v>
      </c>
      <c r="W101" s="24">
        <f t="shared" si="65"/>
        <v>12</v>
      </c>
      <c r="X101" s="48">
        <f t="shared" si="66"/>
        <v>0.30527048149762337</v>
      </c>
    </row>
    <row r="102" spans="1:24" ht="12.75">
      <c r="A102" s="28">
        <v>91</v>
      </c>
      <c r="B102" s="13" t="s">
        <v>104</v>
      </c>
      <c r="C102" s="7"/>
      <c r="D102" s="18">
        <f>'[1]А-4'!$F$123</f>
        <v>3</v>
      </c>
      <c r="E102" s="95">
        <f>'[1]Норматив и фактически 2017'!$F$107</f>
        <v>263.685</v>
      </c>
      <c r="F102" s="112">
        <f t="shared" si="58"/>
        <v>163.47849686336014</v>
      </c>
      <c r="G102" s="70">
        <f t="shared" si="59"/>
        <v>55.680776031660464</v>
      </c>
      <c r="H102" s="70">
        <f t="shared" si="60"/>
        <v>107.79772083169966</v>
      </c>
      <c r="I102" s="26">
        <f t="shared" si="61"/>
        <v>34.02</v>
      </c>
      <c r="J102" s="19">
        <f>'[1]А-4'!G123</f>
        <v>22.6</v>
      </c>
      <c r="K102" s="26">
        <f>'[1]А-4'!$H$123</f>
        <v>11.42</v>
      </c>
      <c r="L102" s="26">
        <f>'[1]А-4'!$T$123</f>
        <v>4</v>
      </c>
      <c r="M102" s="21">
        <f>'[1]А-4'!$AF$123</f>
        <v>0</v>
      </c>
      <c r="N102" s="21">
        <f t="shared" si="68"/>
        <v>1.7699115044247786</v>
      </c>
      <c r="O102" s="21">
        <f>ROUND(M102/K102*10,3)</f>
        <v>0</v>
      </c>
      <c r="P102" s="26">
        <f t="shared" si="55"/>
        <v>0.8</v>
      </c>
      <c r="Q102" s="26">
        <f t="shared" si="56"/>
        <v>0</v>
      </c>
      <c r="R102" s="22">
        <f t="shared" si="62"/>
        <v>44</v>
      </c>
      <c r="S102" s="22">
        <f t="shared" si="63"/>
        <v>0</v>
      </c>
      <c r="T102" s="16">
        <f t="shared" si="64"/>
        <v>44</v>
      </c>
      <c r="U102" s="24">
        <f t="shared" si="67"/>
        <v>15</v>
      </c>
      <c r="V102" s="9">
        <v>259</v>
      </c>
      <c r="W102" s="24">
        <f t="shared" si="65"/>
        <v>15</v>
      </c>
      <c r="X102" s="48">
        <f t="shared" si="66"/>
        <v>0.2691485476330041</v>
      </c>
    </row>
    <row r="103" spans="1:24" ht="12.75">
      <c r="A103" s="28">
        <v>92</v>
      </c>
      <c r="B103" s="190" t="s">
        <v>139</v>
      </c>
      <c r="C103" s="191"/>
      <c r="D103" s="18">
        <f>'[1]А-4'!$F$124</f>
        <v>0</v>
      </c>
      <c r="E103" s="17">
        <f>'[1]Норматив и фактически 2017'!$F$108</f>
        <v>356.318</v>
      </c>
      <c r="F103" s="114">
        <f t="shared" si="58"/>
        <v>220.9087776906489</v>
      </c>
      <c r="G103" s="70">
        <f t="shared" si="59"/>
        <v>75.24152968143501</v>
      </c>
      <c r="H103" s="70">
        <f t="shared" si="60"/>
        <v>145.66724800921386</v>
      </c>
      <c r="I103" s="26">
        <f t="shared" si="61"/>
        <v>0</v>
      </c>
      <c r="J103" s="19">
        <f>'[1]А-4'!G124</f>
        <v>0</v>
      </c>
      <c r="K103" s="26">
        <f>'[1]А-4'!$H$124</f>
        <v>0</v>
      </c>
      <c r="L103" s="26">
        <f>'[1]А-4'!$T$124</f>
        <v>0</v>
      </c>
      <c r="M103" s="21">
        <f>'[1]А-4'!$AF$124</f>
        <v>0</v>
      </c>
      <c r="N103" s="21"/>
      <c r="O103" s="21"/>
      <c r="P103" s="26">
        <f t="shared" si="55"/>
        <v>0</v>
      </c>
      <c r="Q103" s="26">
        <f t="shared" si="56"/>
        <v>0</v>
      </c>
      <c r="R103" s="22">
        <f t="shared" si="62"/>
        <v>0</v>
      </c>
      <c r="S103" s="22">
        <f t="shared" si="63"/>
        <v>0</v>
      </c>
      <c r="T103" s="16">
        <f t="shared" si="64"/>
        <v>0</v>
      </c>
      <c r="U103" s="24">
        <f t="shared" si="67"/>
        <v>0</v>
      </c>
      <c r="V103" s="9">
        <v>0</v>
      </c>
      <c r="W103" s="24">
        <f t="shared" si="65"/>
        <v>0</v>
      </c>
      <c r="X103" s="48">
        <f t="shared" si="66"/>
        <v>0</v>
      </c>
    </row>
    <row r="104" spans="1:24" ht="12.75">
      <c r="A104" s="28">
        <v>93</v>
      </c>
      <c r="B104" s="190" t="s">
        <v>140</v>
      </c>
      <c r="C104" s="191"/>
      <c r="D104" s="18">
        <f>'[1]А-4'!$F$125</f>
        <v>8</v>
      </c>
      <c r="E104" s="17">
        <f>'[1]Норматив и фактически 2017'!$F$109</f>
        <v>397.065</v>
      </c>
      <c r="F104" s="114">
        <f t="shared" si="58"/>
        <v>246.17095912566165</v>
      </c>
      <c r="G104" s="70">
        <f t="shared" si="59"/>
        <v>83.84582867820036</v>
      </c>
      <c r="H104" s="70">
        <f t="shared" si="60"/>
        <v>162.32513044746128</v>
      </c>
      <c r="I104" s="26">
        <f t="shared" si="61"/>
        <v>83.59</v>
      </c>
      <c r="J104" s="19">
        <f>'[1]А-4'!G125</f>
        <v>41.34</v>
      </c>
      <c r="K104" s="26">
        <f>'[1]А-4'!$H$125</f>
        <v>42.25</v>
      </c>
      <c r="L104" s="26">
        <f>'[1]А-4'!$T$125</f>
        <v>12</v>
      </c>
      <c r="M104" s="21">
        <f>'[1]А-4'!$AF$125</f>
        <v>11</v>
      </c>
      <c r="N104" s="21">
        <f t="shared" si="68"/>
        <v>2.9027576197387517</v>
      </c>
      <c r="O104" s="21">
        <f>ROUND(M104/K104*10,3)</f>
        <v>2.604</v>
      </c>
      <c r="P104" s="26">
        <f t="shared" si="55"/>
        <v>1.4</v>
      </c>
      <c r="Q104" s="26">
        <f t="shared" si="56"/>
        <v>1.2</v>
      </c>
      <c r="R104" s="22">
        <f t="shared" si="62"/>
        <v>117</v>
      </c>
      <c r="S104" s="22">
        <f t="shared" si="63"/>
        <v>194</v>
      </c>
      <c r="T104" s="16">
        <f t="shared" si="64"/>
        <v>311</v>
      </c>
      <c r="U104" s="24">
        <f t="shared" si="67"/>
        <v>108</v>
      </c>
      <c r="V104" s="9">
        <v>74</v>
      </c>
      <c r="W104" s="24">
        <f t="shared" si="65"/>
        <v>74</v>
      </c>
      <c r="X104" s="48">
        <f t="shared" si="66"/>
        <v>1.2633496701016036</v>
      </c>
    </row>
    <row r="105" spans="1:24" ht="12.75">
      <c r="A105" s="28">
        <v>94</v>
      </c>
      <c r="B105" s="190" t="s">
        <v>141</v>
      </c>
      <c r="C105" s="191"/>
      <c r="D105" s="18">
        <f>'[1]А-4'!$F$126</f>
        <v>0</v>
      </c>
      <c r="E105" s="17">
        <f>'[1]Норматив и фактически 2017'!$F$110</f>
        <v>114.404</v>
      </c>
      <c r="F105" s="114">
        <f t="shared" si="58"/>
        <v>70.92778866888845</v>
      </c>
      <c r="G105" s="70">
        <f t="shared" si="59"/>
        <v>24.158004820623407</v>
      </c>
      <c r="H105" s="70">
        <f t="shared" si="60"/>
        <v>46.76978384826504</v>
      </c>
      <c r="I105" s="26">
        <f t="shared" si="61"/>
        <v>0</v>
      </c>
      <c r="J105" s="19">
        <f>'[1]А-4'!G126</f>
        <v>0</v>
      </c>
      <c r="K105" s="26">
        <f>'[1]А-4'!$H$126</f>
        <v>0</v>
      </c>
      <c r="L105" s="26">
        <f>'[1]А-4'!$T$126</f>
        <v>0</v>
      </c>
      <c r="M105" s="21">
        <f>'[1]А-4'!$AF$126</f>
        <v>0</v>
      </c>
      <c r="N105" s="21"/>
      <c r="O105" s="21"/>
      <c r="P105" s="26">
        <f t="shared" si="55"/>
        <v>0</v>
      </c>
      <c r="Q105" s="26">
        <f t="shared" si="56"/>
        <v>0</v>
      </c>
      <c r="R105" s="22">
        <f t="shared" si="62"/>
        <v>0</v>
      </c>
      <c r="S105" s="22">
        <f t="shared" si="63"/>
        <v>0</v>
      </c>
      <c r="T105" s="16">
        <f t="shared" si="64"/>
        <v>0</v>
      </c>
      <c r="U105" s="24">
        <v>24</v>
      </c>
      <c r="V105" s="9">
        <v>0</v>
      </c>
      <c r="W105" s="24">
        <f t="shared" si="65"/>
        <v>0</v>
      </c>
      <c r="X105" s="48">
        <f t="shared" si="66"/>
        <v>0</v>
      </c>
    </row>
    <row r="106" spans="1:24" ht="12.75">
      <c r="A106" s="28">
        <v>95</v>
      </c>
      <c r="B106" s="190" t="s">
        <v>142</v>
      </c>
      <c r="C106" s="191"/>
      <c r="D106" s="18">
        <f>'[1]А-4'!$F$127</f>
        <v>0</v>
      </c>
      <c r="E106" s="17">
        <f>'[1]Норматив и фактически 2017'!$F$111</f>
        <v>117.214</v>
      </c>
      <c r="F106" s="114">
        <f t="shared" si="58"/>
        <v>72.6699225642031</v>
      </c>
      <c r="G106" s="70">
        <f t="shared" si="59"/>
        <v>24.75137562536758</v>
      </c>
      <c r="H106" s="70">
        <f t="shared" si="60"/>
        <v>47.918546938835526</v>
      </c>
      <c r="I106" s="26">
        <f t="shared" si="61"/>
        <v>0</v>
      </c>
      <c r="J106" s="19">
        <f>'[1]А-4'!G127</f>
        <v>0</v>
      </c>
      <c r="K106" s="26">
        <f>'[1]А-4'!$H$127</f>
        <v>0</v>
      </c>
      <c r="L106" s="26">
        <f>'[1]А-4'!$T$127</f>
        <v>0</v>
      </c>
      <c r="M106" s="21">
        <f>'[1]А-4'!$AF$127</f>
        <v>0</v>
      </c>
      <c r="N106" s="21"/>
      <c r="O106" s="21"/>
      <c r="P106" s="26">
        <f t="shared" si="55"/>
        <v>0</v>
      </c>
      <c r="Q106" s="26">
        <f t="shared" si="56"/>
        <v>0</v>
      </c>
      <c r="R106" s="22">
        <f t="shared" si="62"/>
        <v>0</v>
      </c>
      <c r="S106" s="22">
        <f t="shared" si="63"/>
        <v>0</v>
      </c>
      <c r="T106" s="16">
        <f t="shared" si="64"/>
        <v>0</v>
      </c>
      <c r="U106" s="24">
        <v>25</v>
      </c>
      <c r="V106" s="9">
        <v>0</v>
      </c>
      <c r="W106" s="24">
        <f t="shared" si="65"/>
        <v>0</v>
      </c>
      <c r="X106" s="48">
        <f t="shared" si="66"/>
        <v>0</v>
      </c>
    </row>
    <row r="107" spans="1:24" ht="12.75">
      <c r="A107" s="28">
        <v>96</v>
      </c>
      <c r="B107" s="109"/>
      <c r="C107" s="108"/>
      <c r="D107" s="18"/>
      <c r="E107" s="17"/>
      <c r="F107" s="114"/>
      <c r="G107" s="70"/>
      <c r="H107" s="70"/>
      <c r="I107" s="26"/>
      <c r="J107" s="19"/>
      <c r="K107" s="26"/>
      <c r="L107" s="21"/>
      <c r="M107" s="21"/>
      <c r="N107" s="21"/>
      <c r="O107" s="21"/>
      <c r="P107" s="26"/>
      <c r="Q107" s="26"/>
      <c r="R107" s="22"/>
      <c r="S107" s="22"/>
      <c r="T107" s="16"/>
      <c r="U107" s="24"/>
      <c r="V107" s="9"/>
      <c r="W107" s="24"/>
      <c r="X107" s="48"/>
    </row>
    <row r="108" spans="1:24" ht="12.75">
      <c r="A108" s="28">
        <v>97</v>
      </c>
      <c r="B108" s="202"/>
      <c r="C108" s="203"/>
      <c r="D108" s="18"/>
      <c r="E108" s="17"/>
      <c r="F108" s="114"/>
      <c r="G108" s="70"/>
      <c r="H108" s="70"/>
      <c r="I108" s="26"/>
      <c r="J108" s="19"/>
      <c r="K108" s="26"/>
      <c r="L108" s="21"/>
      <c r="M108" s="21"/>
      <c r="N108" s="21"/>
      <c r="O108" s="21"/>
      <c r="P108" s="26"/>
      <c r="Q108" s="26"/>
      <c r="R108" s="22"/>
      <c r="S108" s="22"/>
      <c r="T108" s="16"/>
      <c r="U108" s="24"/>
      <c r="V108" s="9"/>
      <c r="W108" s="24"/>
      <c r="X108" s="48"/>
    </row>
    <row r="109" spans="1:24" ht="12.75">
      <c r="A109" s="28">
        <v>98</v>
      </c>
      <c r="B109" s="202"/>
      <c r="C109" s="203"/>
      <c r="D109" s="18"/>
      <c r="E109" s="17"/>
      <c r="F109" s="115"/>
      <c r="G109" s="70"/>
      <c r="H109" s="70"/>
      <c r="I109" s="26"/>
      <c r="J109" s="19"/>
      <c r="K109" s="26"/>
      <c r="L109" s="21"/>
      <c r="M109" s="21"/>
      <c r="N109" s="21"/>
      <c r="O109" s="21"/>
      <c r="P109" s="26"/>
      <c r="Q109" s="26"/>
      <c r="R109" s="22"/>
      <c r="S109" s="22"/>
      <c r="T109" s="16"/>
      <c r="U109" s="24"/>
      <c r="V109" s="9"/>
      <c r="W109" s="24"/>
      <c r="X109" s="48"/>
    </row>
    <row r="110" spans="1:24" ht="12.75">
      <c r="A110" s="28">
        <v>99</v>
      </c>
      <c r="B110" s="202"/>
      <c r="C110" s="203"/>
      <c r="D110" s="18"/>
      <c r="E110" s="17"/>
      <c r="F110" s="114"/>
      <c r="G110" s="70"/>
      <c r="H110" s="70"/>
      <c r="I110" s="26"/>
      <c r="J110" s="19"/>
      <c r="K110" s="26"/>
      <c r="L110" s="21"/>
      <c r="M110" s="21"/>
      <c r="N110" s="21"/>
      <c r="O110" s="21"/>
      <c r="P110" s="26"/>
      <c r="Q110" s="26"/>
      <c r="R110" s="22"/>
      <c r="S110" s="22"/>
      <c r="T110" s="16"/>
      <c r="U110" s="24"/>
      <c r="V110" s="9"/>
      <c r="W110" s="24"/>
      <c r="X110" s="48"/>
    </row>
    <row r="111" spans="1:24" ht="12.75">
      <c r="A111" s="28">
        <v>100</v>
      </c>
      <c r="B111" s="202"/>
      <c r="C111" s="203"/>
      <c r="D111" s="18"/>
      <c r="E111" s="17"/>
      <c r="F111" s="114"/>
      <c r="G111" s="70"/>
      <c r="H111" s="70"/>
      <c r="I111" s="26"/>
      <c r="J111" s="19"/>
      <c r="K111" s="26"/>
      <c r="L111" s="21"/>
      <c r="M111" s="21"/>
      <c r="N111" s="21"/>
      <c r="O111" s="21"/>
      <c r="P111" s="26"/>
      <c r="Q111" s="26"/>
      <c r="R111" s="22"/>
      <c r="S111" s="22"/>
      <c r="T111" s="16"/>
      <c r="U111" s="24"/>
      <c r="V111" s="9"/>
      <c r="W111" s="24"/>
      <c r="X111" s="48"/>
    </row>
    <row r="112" spans="1:24" ht="12.75">
      <c r="A112" s="28">
        <v>101</v>
      </c>
      <c r="B112" s="202"/>
      <c r="C112" s="203"/>
      <c r="D112" s="18"/>
      <c r="E112" s="17"/>
      <c r="F112" s="114"/>
      <c r="G112" s="70"/>
      <c r="H112" s="70"/>
      <c r="I112" s="26"/>
      <c r="J112" s="19"/>
      <c r="K112" s="26"/>
      <c r="L112" s="21"/>
      <c r="M112" s="21"/>
      <c r="N112" s="21"/>
      <c r="O112" s="21"/>
      <c r="P112" s="26"/>
      <c r="Q112" s="26"/>
      <c r="R112" s="22"/>
      <c r="S112" s="22"/>
      <c r="T112" s="16"/>
      <c r="U112" s="24"/>
      <c r="V112" s="9"/>
      <c r="W112" s="24"/>
      <c r="X112" s="48"/>
    </row>
    <row r="113" spans="1:30" ht="24.75" customHeight="1">
      <c r="A113" s="199" t="s">
        <v>123</v>
      </c>
      <c r="B113" s="200"/>
      <c r="C113" s="201"/>
      <c r="D113" s="120">
        <f>SUM(D114:D119)</f>
        <v>60</v>
      </c>
      <c r="E113" s="74">
        <f aca="true" t="shared" si="69" ref="E113:M113">SUM(E114:E124)</f>
        <v>4663.179</v>
      </c>
      <c r="F113" s="74">
        <f t="shared" si="69"/>
        <v>2947</v>
      </c>
      <c r="G113" s="74">
        <f t="shared" si="69"/>
        <v>1757.0013999999999</v>
      </c>
      <c r="H113" s="74">
        <f t="shared" si="69"/>
        <v>1189.9986</v>
      </c>
      <c r="I113" s="74">
        <f t="shared" si="69"/>
        <v>641.79</v>
      </c>
      <c r="J113" s="74">
        <f t="shared" si="69"/>
        <v>610.9300000000001</v>
      </c>
      <c r="K113" s="74">
        <f t="shared" si="69"/>
        <v>30.860000000000003</v>
      </c>
      <c r="L113" s="74">
        <f t="shared" si="69"/>
        <v>54</v>
      </c>
      <c r="M113" s="74">
        <f t="shared" si="69"/>
        <v>6</v>
      </c>
      <c r="N113" s="74">
        <f>ROUND(L113/J113*10,2)</f>
        <v>0.88</v>
      </c>
      <c r="O113" s="74">
        <f>ROUND(M113/K113*10,2)</f>
        <v>1.94</v>
      </c>
      <c r="P113" s="76">
        <f aca="true" t="shared" si="70" ref="P113:P119">ROUND(N113*$M$5,1)</f>
        <v>0.4</v>
      </c>
      <c r="Q113" s="74">
        <f>ROUND(O113*$M$5,2)</f>
        <v>0.93</v>
      </c>
      <c r="R113" s="77">
        <f aca="true" t="shared" si="71" ref="R113:W113">SUM(R114:R124)</f>
        <v>831</v>
      </c>
      <c r="S113" s="77">
        <f t="shared" si="71"/>
        <v>102</v>
      </c>
      <c r="T113" s="77">
        <f t="shared" si="71"/>
        <v>933</v>
      </c>
      <c r="U113" s="77">
        <f t="shared" si="71"/>
        <v>306</v>
      </c>
      <c r="V113" s="77">
        <f t="shared" si="71"/>
        <v>431</v>
      </c>
      <c r="W113" s="77">
        <f t="shared" si="71"/>
        <v>256</v>
      </c>
      <c r="X113" s="48">
        <f>T113/F113</f>
        <v>0.3165931455717679</v>
      </c>
      <c r="Y113">
        <f>2947/E113</f>
        <v>0.6319723090192334</v>
      </c>
      <c r="AB113">
        <v>1570</v>
      </c>
      <c r="AD113" s="20">
        <f>AB113-T113</f>
        <v>637</v>
      </c>
    </row>
    <row r="114" spans="1:24" ht="12.75">
      <c r="A114" s="28">
        <v>102</v>
      </c>
      <c r="B114" s="8" t="s">
        <v>19</v>
      </c>
      <c r="C114" s="9"/>
      <c r="D114" s="18">
        <f>'[1]А-4'!$F$133</f>
        <v>31</v>
      </c>
      <c r="E114" s="92">
        <f>'[1]Норматив и фактически 2017'!$F$119</f>
        <v>2465</v>
      </c>
      <c r="F114" s="112">
        <f aca="true" t="shared" si="72" ref="F114:F119">E114*$Y$113</f>
        <v>1557.8117417324104</v>
      </c>
      <c r="G114" s="70">
        <f aca="true" t="shared" si="73" ref="G114:G119">F114*0.5962</f>
        <v>928.767360420863</v>
      </c>
      <c r="H114" s="70">
        <f aca="true" t="shared" si="74" ref="H114:H119">F114*0.4038</f>
        <v>629.0443813115473</v>
      </c>
      <c r="I114" s="26">
        <f aca="true" t="shared" si="75" ref="I114:I119">J114+K114</f>
        <v>321.7</v>
      </c>
      <c r="J114" s="26">
        <f>'[1]А-4'!G133</f>
        <v>321.7</v>
      </c>
      <c r="K114" s="26">
        <f>'[1]А-4'!$H$133</f>
        <v>0</v>
      </c>
      <c r="L114" s="21">
        <f>'[1]А-4'!$T$133</f>
        <v>25</v>
      </c>
      <c r="M114" s="21">
        <f>'[1]А-4'!$AF$133</f>
        <v>0</v>
      </c>
      <c r="N114" s="21">
        <f aca="true" t="shared" si="76" ref="N114:N119">L114*10/J114</f>
        <v>0.777121541809139</v>
      </c>
      <c r="O114" s="21"/>
      <c r="P114" s="26">
        <f t="shared" si="70"/>
        <v>0.4</v>
      </c>
      <c r="Q114" s="26">
        <f aca="true" t="shared" si="77" ref="Q114:Q119">ROUND(O114*$M$5,1)</f>
        <v>0</v>
      </c>
      <c r="R114" s="22">
        <f aca="true" t="shared" si="78" ref="R114:S119">ROUNDDOWN((P114*G114),0)</f>
        <v>371</v>
      </c>
      <c r="S114" s="22">
        <f t="shared" si="78"/>
        <v>0</v>
      </c>
      <c r="T114" s="16">
        <f aca="true" t="shared" si="79" ref="T114:T119">R114+S114</f>
        <v>371</v>
      </c>
      <c r="U114" s="24">
        <f>ROUNDDOWN(IF(T114&lt;$O$3,"0",T114*35/100),0)</f>
        <v>129</v>
      </c>
      <c r="V114" s="9">
        <v>180</v>
      </c>
      <c r="W114" s="24">
        <f>IF(V114&lt;=U114,V114,U114)</f>
        <v>129</v>
      </c>
      <c r="X114" s="48">
        <f>T114/F114</f>
        <v>0.23815457931227205</v>
      </c>
    </row>
    <row r="115" spans="1:24" ht="12.75">
      <c r="A115" s="28">
        <v>103</v>
      </c>
      <c r="B115" s="8" t="s">
        <v>39</v>
      </c>
      <c r="C115" s="9"/>
      <c r="D115" s="18">
        <f>'[1]А-4'!$F$134</f>
        <v>2</v>
      </c>
      <c r="E115" s="92">
        <f>'[1]Норматив и фактически 2017'!$F$120</f>
        <v>212.2506</v>
      </c>
      <c r="F115" s="112">
        <f t="shared" si="72"/>
        <v>134.1365017727177</v>
      </c>
      <c r="G115" s="70">
        <f t="shared" si="73"/>
        <v>79.9721823568943</v>
      </c>
      <c r="H115" s="70">
        <f t="shared" si="74"/>
        <v>54.16431941582341</v>
      </c>
      <c r="I115" s="26">
        <f t="shared" si="75"/>
        <v>23.2</v>
      </c>
      <c r="J115" s="26">
        <f>'[1]А-4'!G134</f>
        <v>16.7</v>
      </c>
      <c r="K115" s="26">
        <f>'[1]А-4'!$H$134</f>
        <v>6.5</v>
      </c>
      <c r="L115" s="21">
        <f>'[1]А-4'!$T$134</f>
        <v>1</v>
      </c>
      <c r="M115" s="21">
        <f>'[1]А-4'!$AF$134</f>
        <v>1</v>
      </c>
      <c r="N115" s="21">
        <f t="shared" si="76"/>
        <v>0.5988023952095809</v>
      </c>
      <c r="O115" s="21">
        <f>ROUND(M115/K115*10,3)</f>
        <v>1.538</v>
      </c>
      <c r="P115" s="26">
        <f t="shared" si="70"/>
        <v>0.3</v>
      </c>
      <c r="Q115" s="26">
        <f t="shared" si="77"/>
        <v>0.7</v>
      </c>
      <c r="R115" s="22">
        <f t="shared" si="78"/>
        <v>23</v>
      </c>
      <c r="S115" s="22">
        <f t="shared" si="78"/>
        <v>37</v>
      </c>
      <c r="T115" s="16">
        <f t="shared" si="79"/>
        <v>60</v>
      </c>
      <c r="U115" s="24">
        <f>ROUNDDOWN(IF(T115&lt;$O$3,"0",T115*35/100),0)</f>
        <v>21</v>
      </c>
      <c r="V115" s="9">
        <v>50</v>
      </c>
      <c r="W115" s="24">
        <f>IF(V115&lt;=U115,V115,U115)</f>
        <v>21</v>
      </c>
      <c r="X115" s="48">
        <f>T115/F115</f>
        <v>0.4473055373224555</v>
      </c>
    </row>
    <row r="116" spans="1:24" ht="12.75">
      <c r="A116" s="28">
        <v>104</v>
      </c>
      <c r="B116" s="137" t="s">
        <v>20</v>
      </c>
      <c r="C116" s="138"/>
      <c r="D116" s="125">
        <f>'[1]А-4'!$F$135</f>
        <v>4</v>
      </c>
      <c r="E116" s="134">
        <f>'[1]Норматив и фактически 2017'!$F$121</f>
        <v>370</v>
      </c>
      <c r="F116" s="127">
        <f t="shared" si="72"/>
        <v>233.82975433711636</v>
      </c>
      <c r="G116" s="128">
        <f t="shared" si="73"/>
        <v>139.40929953578876</v>
      </c>
      <c r="H116" s="128">
        <f t="shared" si="74"/>
        <v>94.42045480132758</v>
      </c>
      <c r="I116" s="129">
        <f t="shared" si="75"/>
        <v>48.22</v>
      </c>
      <c r="J116" s="129">
        <f>'[1]А-4'!G135</f>
        <v>48.22</v>
      </c>
      <c r="K116" s="129">
        <f>'[1]А-4'!$H$135</f>
        <v>0</v>
      </c>
      <c r="L116" s="130">
        <f>'[1]А-4'!$T$135</f>
        <v>4</v>
      </c>
      <c r="M116" s="130">
        <f>'[1]А-4'!$AF$135</f>
        <v>0</v>
      </c>
      <c r="N116" s="130">
        <f t="shared" si="76"/>
        <v>0.8295313148071339</v>
      </c>
      <c r="O116" s="130"/>
      <c r="P116" s="129">
        <f t="shared" si="70"/>
        <v>0.4</v>
      </c>
      <c r="Q116" s="129">
        <f t="shared" si="77"/>
        <v>0</v>
      </c>
      <c r="R116" s="131">
        <f t="shared" si="78"/>
        <v>55</v>
      </c>
      <c r="S116" s="131">
        <f t="shared" si="78"/>
        <v>0</v>
      </c>
      <c r="T116" s="131">
        <f t="shared" si="79"/>
        <v>55</v>
      </c>
      <c r="U116" s="132">
        <v>0</v>
      </c>
      <c r="V116" s="133"/>
      <c r="W116" s="24">
        <f>IF(V116&lt;=U116,V116,U116)</f>
        <v>0</v>
      </c>
      <c r="X116" s="48">
        <f>T116/F116</f>
        <v>0.2352138638468805</v>
      </c>
    </row>
    <row r="117" spans="1:23" ht="12.75">
      <c r="A117" s="28">
        <v>105</v>
      </c>
      <c r="B117" s="8" t="s">
        <v>47</v>
      </c>
      <c r="C117" s="9"/>
      <c r="D117" s="18">
        <f>'[1]А-4'!$F$136</f>
        <v>7</v>
      </c>
      <c r="E117" s="92">
        <f>'[1]Норматив и фактически 2017'!$F$122</f>
        <v>798.6244</v>
      </c>
      <c r="F117" s="112">
        <f t="shared" si="72"/>
        <v>504.7085061070999</v>
      </c>
      <c r="G117" s="70">
        <f t="shared" si="73"/>
        <v>300.9072113410529</v>
      </c>
      <c r="H117" s="70">
        <f t="shared" si="74"/>
        <v>203.80129476604694</v>
      </c>
      <c r="I117" s="26">
        <f t="shared" si="75"/>
        <v>82.93</v>
      </c>
      <c r="J117" s="26">
        <f>'[1]А-4'!G136</f>
        <v>78.42</v>
      </c>
      <c r="K117" s="26">
        <f>'[1]А-4'!$H$136</f>
        <v>4.510000000000001</v>
      </c>
      <c r="L117" s="21">
        <f>'[1]А-4'!$T$136</f>
        <v>7</v>
      </c>
      <c r="M117" s="21">
        <f>'[1]А-4'!$AF$136</f>
        <v>0</v>
      </c>
      <c r="N117" s="21">
        <f t="shared" si="76"/>
        <v>0.8926294312675338</v>
      </c>
      <c r="O117" s="21">
        <f>ROUND(M117/K117*10,3)</f>
        <v>0</v>
      </c>
      <c r="P117" s="26">
        <f t="shared" si="70"/>
        <v>0.4</v>
      </c>
      <c r="Q117" s="26">
        <f t="shared" si="77"/>
        <v>0</v>
      </c>
      <c r="R117" s="22">
        <f t="shared" si="78"/>
        <v>120</v>
      </c>
      <c r="S117" s="22">
        <f t="shared" si="78"/>
        <v>0</v>
      </c>
      <c r="T117" s="16">
        <f t="shared" si="79"/>
        <v>120</v>
      </c>
      <c r="U117" s="24">
        <f>ROUNDDOWN(IF(T117&lt;$O$3,"0",T117*35/100),0)</f>
        <v>42</v>
      </c>
      <c r="V117" s="9"/>
      <c r="W117" s="24">
        <v>42</v>
      </c>
    </row>
    <row r="118" spans="1:24" ht="12.75">
      <c r="A118" s="28">
        <v>106</v>
      </c>
      <c r="B118" s="110" t="s">
        <v>141</v>
      </c>
      <c r="C118" s="111"/>
      <c r="D118" s="18">
        <f>'[1]А-4'!$F$137</f>
        <v>2</v>
      </c>
      <c r="E118" s="92">
        <f>'[1]Норматив и фактически 2017'!$F$124</f>
        <v>160.95</v>
      </c>
      <c r="F118" s="112">
        <f t="shared" si="72"/>
        <v>101.7159431366456</v>
      </c>
      <c r="G118" s="70">
        <f t="shared" si="73"/>
        <v>60.6430452980681</v>
      </c>
      <c r="H118" s="70">
        <f t="shared" si="74"/>
        <v>41.0728978385775</v>
      </c>
      <c r="I118" s="26">
        <f t="shared" si="75"/>
        <v>20.94</v>
      </c>
      <c r="J118" s="26">
        <f>'[1]А-4'!G137</f>
        <v>6.29</v>
      </c>
      <c r="K118" s="26">
        <f>'[1]А-4'!$H$137</f>
        <v>14.65</v>
      </c>
      <c r="L118" s="21">
        <f>'[1]А-4'!$T$137</f>
        <v>3</v>
      </c>
      <c r="M118" s="21">
        <f>'[1]А-4'!$AF$137</f>
        <v>5</v>
      </c>
      <c r="N118" s="21">
        <f t="shared" si="76"/>
        <v>4.769475357710652</v>
      </c>
      <c r="O118" s="21">
        <f>ROUND(M118/K118*10,3)</f>
        <v>3.413</v>
      </c>
      <c r="P118" s="26">
        <f t="shared" si="70"/>
        <v>2.3</v>
      </c>
      <c r="Q118" s="26">
        <f t="shared" si="77"/>
        <v>1.6</v>
      </c>
      <c r="R118" s="22">
        <f t="shared" si="78"/>
        <v>139</v>
      </c>
      <c r="S118" s="22">
        <f t="shared" si="78"/>
        <v>65</v>
      </c>
      <c r="T118" s="16">
        <f t="shared" si="79"/>
        <v>204</v>
      </c>
      <c r="U118" s="24">
        <f>ROUNDDOWN(IF(T118&lt;$O$3,"0",T118*35/100),0)</f>
        <v>71</v>
      </c>
      <c r="V118" s="9">
        <v>21</v>
      </c>
      <c r="W118" s="24">
        <f>IF(V118&lt;=U118,V118,U118)</f>
        <v>21</v>
      </c>
      <c r="X118" s="48"/>
    </row>
    <row r="119" spans="1:24" ht="12.75">
      <c r="A119" s="28">
        <v>107</v>
      </c>
      <c r="B119" s="185" t="s">
        <v>143</v>
      </c>
      <c r="C119" s="186"/>
      <c r="D119" s="18">
        <f>'[1]А-4'!$F$138</f>
        <v>14</v>
      </c>
      <c r="E119" s="92">
        <f>'[1]Норматив и фактически 2017'!$F$123</f>
        <v>656.354</v>
      </c>
      <c r="F119" s="112">
        <f t="shared" si="72"/>
        <v>414.79755291400994</v>
      </c>
      <c r="G119" s="70">
        <f t="shared" si="73"/>
        <v>247.30230104733272</v>
      </c>
      <c r="H119" s="70">
        <f t="shared" si="74"/>
        <v>167.49525186667722</v>
      </c>
      <c r="I119" s="26">
        <f t="shared" si="75"/>
        <v>144.79999999999998</v>
      </c>
      <c r="J119" s="26">
        <f>'[1]А-4'!G138</f>
        <v>139.6</v>
      </c>
      <c r="K119" s="26">
        <f>'[1]А-4'!$H$138</f>
        <v>5.199999999999999</v>
      </c>
      <c r="L119" s="21">
        <f>'[1]А-4'!$T$138</f>
        <v>14</v>
      </c>
      <c r="M119" s="21">
        <f>'[1]А-4'!$AF$138</f>
        <v>0</v>
      </c>
      <c r="N119" s="21">
        <f t="shared" si="76"/>
        <v>1.002865329512894</v>
      </c>
      <c r="O119" s="21">
        <f>ROUND(M119/K119*10,3)</f>
        <v>0</v>
      </c>
      <c r="P119" s="26">
        <f t="shared" si="70"/>
        <v>0.5</v>
      </c>
      <c r="Q119" s="26">
        <f t="shared" si="77"/>
        <v>0</v>
      </c>
      <c r="R119" s="22">
        <f t="shared" si="78"/>
        <v>123</v>
      </c>
      <c r="S119" s="22">
        <f t="shared" si="78"/>
        <v>0</v>
      </c>
      <c r="T119" s="16">
        <f t="shared" si="79"/>
        <v>123</v>
      </c>
      <c r="U119" s="24">
        <f>ROUNDDOWN(IF(T119&lt;$O$3,"0",T119*35/100),0)</f>
        <v>43</v>
      </c>
      <c r="V119" s="9">
        <v>180</v>
      </c>
      <c r="W119" s="24">
        <f>IF(V119&lt;=U119,V119,U119)</f>
        <v>43</v>
      </c>
      <c r="X119" s="48">
        <f>T117/F117</f>
        <v>0.23776100174253023</v>
      </c>
    </row>
    <row r="120" spans="1:24" ht="12.75">
      <c r="A120" s="28">
        <v>108</v>
      </c>
      <c r="D120" s="9"/>
      <c r="E120" s="9"/>
      <c r="F120" s="9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9"/>
      <c r="U120" s="9"/>
      <c r="V120" s="9"/>
      <c r="W120" s="9"/>
      <c r="X120" s="48"/>
    </row>
    <row r="121" spans="1:24" ht="12.75">
      <c r="A121" s="28">
        <v>109</v>
      </c>
      <c r="B121" s="185"/>
      <c r="C121" s="186"/>
      <c r="D121" s="18"/>
      <c r="E121" s="92"/>
      <c r="F121" s="112"/>
      <c r="G121" s="70"/>
      <c r="H121" s="70"/>
      <c r="I121" s="26"/>
      <c r="J121" s="26"/>
      <c r="K121" s="26"/>
      <c r="L121" s="21"/>
      <c r="M121" s="21"/>
      <c r="N121" s="21"/>
      <c r="O121" s="21"/>
      <c r="P121" s="26"/>
      <c r="Q121" s="26"/>
      <c r="R121" s="22"/>
      <c r="S121" s="22"/>
      <c r="T121" s="16"/>
      <c r="U121" s="24"/>
      <c r="V121" s="9"/>
      <c r="W121" s="24"/>
      <c r="X121" s="48"/>
    </row>
    <row r="122" spans="1:24" ht="12.75">
      <c r="A122" s="28">
        <v>110</v>
      </c>
      <c r="B122" s="185"/>
      <c r="C122" s="186"/>
      <c r="D122" s="18"/>
      <c r="E122" s="92"/>
      <c r="F122" s="112"/>
      <c r="G122" s="70"/>
      <c r="H122" s="70"/>
      <c r="I122" s="26"/>
      <c r="J122" s="26"/>
      <c r="K122" s="26"/>
      <c r="L122" s="21"/>
      <c r="M122" s="21"/>
      <c r="N122" s="21"/>
      <c r="O122" s="21"/>
      <c r="P122" s="26"/>
      <c r="Q122" s="26"/>
      <c r="R122" s="22"/>
      <c r="S122" s="22"/>
      <c r="T122" s="16"/>
      <c r="U122" s="24"/>
      <c r="V122" s="9"/>
      <c r="W122" s="24"/>
      <c r="X122" s="48"/>
    </row>
    <row r="123" spans="1:24" ht="12.75">
      <c r="A123" s="28">
        <v>111</v>
      </c>
      <c r="B123" s="197"/>
      <c r="C123" s="198"/>
      <c r="D123" s="18"/>
      <c r="E123" s="92"/>
      <c r="F123" s="112"/>
      <c r="G123" s="70"/>
      <c r="H123" s="70"/>
      <c r="I123" s="26"/>
      <c r="J123" s="26"/>
      <c r="K123" s="26"/>
      <c r="L123" s="21"/>
      <c r="M123" s="21"/>
      <c r="N123" s="21"/>
      <c r="O123" s="21"/>
      <c r="P123" s="26"/>
      <c r="Q123" s="26"/>
      <c r="R123" s="22"/>
      <c r="S123" s="22"/>
      <c r="T123" s="16"/>
      <c r="U123" s="24"/>
      <c r="V123" s="9"/>
      <c r="W123" s="24"/>
      <c r="X123" s="48"/>
    </row>
    <row r="124" spans="1:24" ht="12.75">
      <c r="A124" s="28">
        <v>112</v>
      </c>
      <c r="B124" s="197"/>
      <c r="C124" s="198"/>
      <c r="D124" s="18"/>
      <c r="E124" s="92"/>
      <c r="F124" s="112"/>
      <c r="G124" s="70"/>
      <c r="H124" s="70"/>
      <c r="I124" s="26"/>
      <c r="J124" s="26"/>
      <c r="K124" s="26"/>
      <c r="L124" s="21"/>
      <c r="M124" s="21"/>
      <c r="N124" s="21"/>
      <c r="O124" s="21"/>
      <c r="P124" s="26"/>
      <c r="Q124" s="26"/>
      <c r="R124" s="22"/>
      <c r="S124" s="22"/>
      <c r="T124" s="16"/>
      <c r="U124" s="24"/>
      <c r="V124" s="9"/>
      <c r="W124" s="24"/>
      <c r="X124" s="48"/>
    </row>
    <row r="125" spans="1:30" ht="27" customHeight="1">
      <c r="A125" s="199" t="s">
        <v>128</v>
      </c>
      <c r="B125" s="200"/>
      <c r="C125" s="201"/>
      <c r="D125" s="120">
        <f aca="true" t="shared" si="80" ref="D125:M125">SUM(D126:D137)</f>
        <v>48</v>
      </c>
      <c r="E125" s="74">
        <f t="shared" si="80"/>
        <v>3547.2970000000005</v>
      </c>
      <c r="F125" s="74">
        <f t="shared" si="80"/>
        <v>2312.9999999999995</v>
      </c>
      <c r="G125" s="120">
        <f t="shared" si="80"/>
        <v>1790.9558999999997</v>
      </c>
      <c r="H125" s="120">
        <f t="shared" si="80"/>
        <v>522.0441</v>
      </c>
      <c r="I125" s="120">
        <f t="shared" si="80"/>
        <v>527.51</v>
      </c>
      <c r="J125" s="120">
        <f t="shared" si="80"/>
        <v>420.21</v>
      </c>
      <c r="K125" s="120">
        <f t="shared" si="80"/>
        <v>107.3</v>
      </c>
      <c r="L125" s="120">
        <f t="shared" si="80"/>
        <v>248</v>
      </c>
      <c r="M125" s="74">
        <f t="shared" si="80"/>
        <v>7</v>
      </c>
      <c r="N125" s="74">
        <f>ROUND(L125/J125*10,2)</f>
        <v>5.9</v>
      </c>
      <c r="O125" s="74">
        <f>ROUND(M125/K125*10,2)</f>
        <v>0.65</v>
      </c>
      <c r="P125" s="76">
        <f aca="true" t="shared" si="81" ref="P125:P137">ROUND(N125*$M$5,1)</f>
        <v>2.8</v>
      </c>
      <c r="Q125" s="74">
        <f>ROUND(O125*$M$5,2)</f>
        <v>0.31</v>
      </c>
      <c r="R125" s="73">
        <f aca="true" t="shared" si="82" ref="R125:W125">SUM(R126:R137)</f>
        <v>2071</v>
      </c>
      <c r="S125" s="77">
        <f t="shared" si="82"/>
        <v>69</v>
      </c>
      <c r="T125" s="77">
        <f t="shared" si="82"/>
        <v>2140</v>
      </c>
      <c r="U125" s="77">
        <f t="shared" si="82"/>
        <v>745</v>
      </c>
      <c r="V125" s="77">
        <f t="shared" si="82"/>
        <v>492</v>
      </c>
      <c r="W125" s="77">
        <f t="shared" si="82"/>
        <v>578</v>
      </c>
      <c r="X125" s="48">
        <f aca="true" t="shared" si="83" ref="X125:X137">T125/F125</f>
        <v>0.9252053610030265</v>
      </c>
      <c r="Y125" s="54">
        <f>2313/E125</f>
        <v>0.6520457689333596</v>
      </c>
      <c r="AB125">
        <v>2546</v>
      </c>
      <c r="AD125" s="20">
        <f>AB125-T125</f>
        <v>406</v>
      </c>
    </row>
    <row r="126" spans="1:24" ht="12.75">
      <c r="A126" s="119">
        <v>113</v>
      </c>
      <c r="B126" s="8" t="s">
        <v>34</v>
      </c>
      <c r="C126" s="9"/>
      <c r="D126" s="18">
        <f>'[1]А-4'!$F$150</f>
        <v>2</v>
      </c>
      <c r="E126" s="95">
        <f>'[1]Норматив и фактически 2017'!$F$131</f>
        <v>46.194</v>
      </c>
      <c r="F126" s="112">
        <f aca="true" t="shared" si="84" ref="F126:F137">E126*$Y$125</f>
        <v>30.120602250107616</v>
      </c>
      <c r="G126" s="70">
        <f aca="true" t="shared" si="85" ref="G126:G137">F126*0.7743</f>
        <v>23.322382322258328</v>
      </c>
      <c r="H126" s="70">
        <f aca="true" t="shared" si="86" ref="H126:H137">F126*0.2257</f>
        <v>6.798219927849289</v>
      </c>
      <c r="I126" s="26">
        <f aca="true" t="shared" si="87" ref="I126:I137">J126+K126</f>
        <v>20.900000000000002</v>
      </c>
      <c r="J126" s="26">
        <f>'[1]А-4'!G150</f>
        <v>16.1</v>
      </c>
      <c r="K126" s="26">
        <f>'[1]А-4'!H150</f>
        <v>4.8</v>
      </c>
      <c r="L126" s="21">
        <f>'[1]А-4'!T150</f>
        <v>9</v>
      </c>
      <c r="M126" s="21">
        <f>'[1]А-4'!AF150</f>
        <v>3</v>
      </c>
      <c r="N126" s="21">
        <f aca="true" t="shared" si="88" ref="N126:N137">ROUND(L126/J126*10,1)</f>
        <v>5.6</v>
      </c>
      <c r="O126" s="21">
        <f>ROUND(M126/K126*10,3)</f>
        <v>6.25</v>
      </c>
      <c r="P126" s="26">
        <f t="shared" si="81"/>
        <v>2.7</v>
      </c>
      <c r="Q126" s="26">
        <f aca="true" t="shared" si="89" ref="Q126:Q137">ROUND(O126*$M$5,1)</f>
        <v>3</v>
      </c>
      <c r="R126" s="22">
        <f aca="true" t="shared" si="90" ref="R126:R137">ROUNDDOWN((P126*G126),0)</f>
        <v>62</v>
      </c>
      <c r="S126" s="22">
        <f aca="true" t="shared" si="91" ref="S126:S137">ROUNDDOWN((Q126*H126),0)</f>
        <v>20</v>
      </c>
      <c r="T126" s="16">
        <f aca="true" t="shared" si="92" ref="T126:T137">R126+S126</f>
        <v>82</v>
      </c>
      <c r="U126" s="24">
        <f>ROUNDDOWN(IF(T126&lt;$O$3,"0",T126*35/100),0)</f>
        <v>28</v>
      </c>
      <c r="V126" s="9">
        <v>20</v>
      </c>
      <c r="W126" s="24">
        <f aca="true" t="shared" si="93" ref="W126:W137">IF(V126&lt;=U126,V126,U126)</f>
        <v>20</v>
      </c>
      <c r="X126" s="48">
        <f t="shared" si="83"/>
        <v>2.722389124862436</v>
      </c>
    </row>
    <row r="127" spans="1:24" ht="12.75">
      <c r="A127" s="119">
        <v>114</v>
      </c>
      <c r="B127" s="8" t="s">
        <v>21</v>
      </c>
      <c r="C127" s="9"/>
      <c r="D127" s="18">
        <f>'[1]А-4'!$F$151</f>
        <v>0</v>
      </c>
      <c r="E127" s="95">
        <f>'[1]Норматив и фактически 2017'!$F$132</f>
        <v>37</v>
      </c>
      <c r="F127" s="112">
        <f t="shared" si="84"/>
        <v>24.125693450534307</v>
      </c>
      <c r="G127" s="70">
        <f t="shared" si="85"/>
        <v>18.680524438748712</v>
      </c>
      <c r="H127" s="70">
        <f t="shared" si="86"/>
        <v>5.445169011785594</v>
      </c>
      <c r="I127" s="26">
        <f t="shared" si="87"/>
        <v>0</v>
      </c>
      <c r="J127" s="26">
        <f>'[1]А-4'!G151</f>
        <v>0</v>
      </c>
      <c r="K127" s="26">
        <f>'[1]А-4'!H151</f>
        <v>0</v>
      </c>
      <c r="L127" s="21">
        <f>'[1]А-4'!T151</f>
        <v>0</v>
      </c>
      <c r="M127" s="21">
        <f>'[1]А-4'!AF151</f>
        <v>0</v>
      </c>
      <c r="N127" s="21"/>
      <c r="O127" s="21"/>
      <c r="P127" s="26">
        <f t="shared" si="81"/>
        <v>0</v>
      </c>
      <c r="Q127" s="26">
        <f t="shared" si="89"/>
        <v>0</v>
      </c>
      <c r="R127" s="22">
        <f t="shared" si="90"/>
        <v>0</v>
      </c>
      <c r="S127" s="22">
        <f t="shared" si="91"/>
        <v>0</v>
      </c>
      <c r="T127" s="16">
        <f t="shared" si="92"/>
        <v>0</v>
      </c>
      <c r="U127" s="24">
        <f aca="true" t="shared" si="94" ref="U127:U137">ROUNDDOWN(IF(T127&lt;$O$3,"0",T127*35/100),0)</f>
        <v>0</v>
      </c>
      <c r="V127" s="9">
        <v>0</v>
      </c>
      <c r="W127" s="24">
        <f t="shared" si="93"/>
        <v>0</v>
      </c>
      <c r="X127" s="48">
        <f t="shared" si="83"/>
        <v>0</v>
      </c>
    </row>
    <row r="128" spans="1:24" ht="12.75">
      <c r="A128" s="119">
        <v>115</v>
      </c>
      <c r="B128" s="185" t="s">
        <v>72</v>
      </c>
      <c r="C128" s="186"/>
      <c r="D128" s="18">
        <f>'[1]А-4'!$F$152</f>
        <v>22</v>
      </c>
      <c r="E128" s="95">
        <f>'[1]Норматив и фактически 2017'!$F$133</f>
        <v>1230.0175</v>
      </c>
      <c r="F128" s="112">
        <f t="shared" si="84"/>
        <v>802.0277065889886</v>
      </c>
      <c r="G128" s="70">
        <f t="shared" si="85"/>
        <v>621.0100532118539</v>
      </c>
      <c r="H128" s="70">
        <f t="shared" si="86"/>
        <v>181.01765337713474</v>
      </c>
      <c r="I128" s="26">
        <f t="shared" si="87"/>
        <v>251.46999999999997</v>
      </c>
      <c r="J128" s="26">
        <f>'[1]А-4'!G152</f>
        <v>164.36999999999998</v>
      </c>
      <c r="K128" s="26">
        <f>'[1]А-4'!H152</f>
        <v>87.1</v>
      </c>
      <c r="L128" s="21">
        <f>'[1]А-4'!T152</f>
        <v>32</v>
      </c>
      <c r="M128" s="21">
        <f>'[1]А-4'!AF152</f>
        <v>3</v>
      </c>
      <c r="N128" s="21">
        <f t="shared" si="88"/>
        <v>1.9</v>
      </c>
      <c r="O128" s="21">
        <f>ROUND(M128/K128*10,3)</f>
        <v>0.344</v>
      </c>
      <c r="P128" s="26">
        <f t="shared" si="81"/>
        <v>0.9</v>
      </c>
      <c r="Q128" s="26">
        <f t="shared" si="89"/>
        <v>0.2</v>
      </c>
      <c r="R128" s="22">
        <f t="shared" si="90"/>
        <v>558</v>
      </c>
      <c r="S128" s="22">
        <f t="shared" si="91"/>
        <v>36</v>
      </c>
      <c r="T128" s="16">
        <f t="shared" si="92"/>
        <v>594</v>
      </c>
      <c r="U128" s="24">
        <f t="shared" si="94"/>
        <v>207</v>
      </c>
      <c r="V128" s="9"/>
      <c r="W128" s="24">
        <v>207</v>
      </c>
      <c r="X128" s="48">
        <f t="shared" si="83"/>
        <v>0.7406227928537192</v>
      </c>
    </row>
    <row r="129" spans="1:24" ht="12.75">
      <c r="A129" s="119">
        <v>116</v>
      </c>
      <c r="B129" s="8" t="s">
        <v>48</v>
      </c>
      <c r="C129" s="9"/>
      <c r="D129" s="18">
        <f>'[1]А-4'!$F$153</f>
        <v>1</v>
      </c>
      <c r="E129" s="95">
        <f>'[1]Норматив и фактически 2017'!$F$134</f>
        <v>165.121</v>
      </c>
      <c r="F129" s="112">
        <f t="shared" si="84"/>
        <v>107.66644941204528</v>
      </c>
      <c r="G129" s="70">
        <f t="shared" si="85"/>
        <v>83.36613177974667</v>
      </c>
      <c r="H129" s="70">
        <f t="shared" si="86"/>
        <v>24.300317632298622</v>
      </c>
      <c r="I129" s="26">
        <f t="shared" si="87"/>
        <v>6.1</v>
      </c>
      <c r="J129" s="26">
        <f>'[1]А-4'!G153</f>
        <v>6.1</v>
      </c>
      <c r="K129" s="26">
        <f>'[1]А-4'!H153</f>
        <v>0</v>
      </c>
      <c r="L129" s="21">
        <f>'[1]А-4'!T153</f>
        <v>7</v>
      </c>
      <c r="M129" s="21">
        <f>'[1]А-4'!AF153</f>
        <v>0</v>
      </c>
      <c r="N129" s="21">
        <f t="shared" si="88"/>
        <v>11.5</v>
      </c>
      <c r="O129" s="21"/>
      <c r="P129" s="26">
        <f t="shared" si="81"/>
        <v>5.5</v>
      </c>
      <c r="Q129" s="26">
        <f t="shared" si="89"/>
        <v>0</v>
      </c>
      <c r="R129" s="22">
        <f t="shared" si="90"/>
        <v>458</v>
      </c>
      <c r="S129" s="22">
        <f t="shared" si="91"/>
        <v>0</v>
      </c>
      <c r="T129" s="16">
        <f t="shared" si="92"/>
        <v>458</v>
      </c>
      <c r="U129" s="24">
        <f t="shared" si="94"/>
        <v>160</v>
      </c>
      <c r="V129" s="9">
        <v>90</v>
      </c>
      <c r="W129" s="24">
        <f t="shared" si="93"/>
        <v>90</v>
      </c>
      <c r="X129" s="48">
        <f t="shared" si="83"/>
        <v>4.253878552706883</v>
      </c>
    </row>
    <row r="130" spans="1:24" ht="12.75">
      <c r="A130" s="119">
        <v>117</v>
      </c>
      <c r="B130" s="8" t="s">
        <v>49</v>
      </c>
      <c r="C130" s="9"/>
      <c r="D130" s="18">
        <f>'[1]А-4'!$F$154</f>
        <v>0</v>
      </c>
      <c r="E130" s="95">
        <f>'[1]Норматив и фактически 2017'!$F$135</f>
        <v>175.227</v>
      </c>
      <c r="F130" s="112">
        <f t="shared" si="84"/>
        <v>114.25602395288581</v>
      </c>
      <c r="G130" s="70">
        <f t="shared" si="85"/>
        <v>88.46843934671948</v>
      </c>
      <c r="H130" s="70">
        <f t="shared" si="86"/>
        <v>25.78758460616633</v>
      </c>
      <c r="I130" s="26">
        <f t="shared" si="87"/>
        <v>0</v>
      </c>
      <c r="J130" s="26">
        <f>'[1]А-4'!G154</f>
        <v>0</v>
      </c>
      <c r="K130" s="26">
        <f>'[1]А-4'!H154</f>
        <v>0</v>
      </c>
      <c r="L130" s="21">
        <f>'[1]А-4'!T154</f>
        <v>0</v>
      </c>
      <c r="M130" s="21">
        <f>'[1]А-4'!AF154</f>
        <v>0</v>
      </c>
      <c r="N130" s="21"/>
      <c r="O130" s="21"/>
      <c r="P130" s="26">
        <f t="shared" si="81"/>
        <v>0</v>
      </c>
      <c r="Q130" s="26">
        <f t="shared" si="89"/>
        <v>0</v>
      </c>
      <c r="R130" s="22">
        <f t="shared" si="90"/>
        <v>0</v>
      </c>
      <c r="S130" s="22">
        <f t="shared" si="91"/>
        <v>0</v>
      </c>
      <c r="T130" s="16">
        <f t="shared" si="92"/>
        <v>0</v>
      </c>
      <c r="U130" s="24">
        <f t="shared" si="94"/>
        <v>0</v>
      </c>
      <c r="V130" s="9">
        <v>0</v>
      </c>
      <c r="W130" s="24">
        <f t="shared" si="93"/>
        <v>0</v>
      </c>
      <c r="X130" s="48">
        <f t="shared" si="83"/>
        <v>0</v>
      </c>
    </row>
    <row r="131" spans="1:24" ht="12.75">
      <c r="A131" s="119">
        <v>118</v>
      </c>
      <c r="B131" s="8" t="s">
        <v>50</v>
      </c>
      <c r="C131" s="9"/>
      <c r="D131" s="18">
        <f>'[1]А-4'!$F$155</f>
        <v>6</v>
      </c>
      <c r="E131" s="95">
        <f>'[1]Норматив и фактически 2017'!$F$136</f>
        <v>338.165</v>
      </c>
      <c r="F131" s="112">
        <f t="shared" si="84"/>
        <v>220.4990574513496</v>
      </c>
      <c r="G131" s="70">
        <f t="shared" si="85"/>
        <v>170.73242018457998</v>
      </c>
      <c r="H131" s="70">
        <f t="shared" si="86"/>
        <v>49.76663726676961</v>
      </c>
      <c r="I131" s="26">
        <f t="shared" si="87"/>
        <v>60</v>
      </c>
      <c r="J131" s="26">
        <f>'[1]А-4'!G155</f>
        <v>60</v>
      </c>
      <c r="K131" s="26">
        <f>'[1]А-4'!H155</f>
        <v>0</v>
      </c>
      <c r="L131" s="21">
        <f>'[1]А-4'!T155</f>
        <v>7</v>
      </c>
      <c r="M131" s="21">
        <f>'[1]А-4'!AF155</f>
        <v>0</v>
      </c>
      <c r="N131" s="21">
        <f t="shared" si="88"/>
        <v>1.2</v>
      </c>
      <c r="O131" s="21"/>
      <c r="P131" s="26">
        <f t="shared" si="81"/>
        <v>0.6</v>
      </c>
      <c r="Q131" s="26">
        <f t="shared" si="89"/>
        <v>0</v>
      </c>
      <c r="R131" s="22">
        <f t="shared" si="90"/>
        <v>102</v>
      </c>
      <c r="S131" s="22">
        <f t="shared" si="91"/>
        <v>0</v>
      </c>
      <c r="T131" s="16">
        <f t="shared" si="92"/>
        <v>102</v>
      </c>
      <c r="U131" s="24">
        <f t="shared" si="94"/>
        <v>35</v>
      </c>
      <c r="V131" s="9">
        <v>78</v>
      </c>
      <c r="W131" s="24">
        <f t="shared" si="93"/>
        <v>35</v>
      </c>
      <c r="X131" s="48">
        <f t="shared" si="83"/>
        <v>0.46258701138668157</v>
      </c>
    </row>
    <row r="132" spans="1:24" ht="12.75">
      <c r="A132" s="119">
        <v>119</v>
      </c>
      <c r="B132" s="8" t="s">
        <v>51</v>
      </c>
      <c r="C132" s="9"/>
      <c r="D132" s="18">
        <f>'[1]А-4'!$F$156</f>
        <v>5</v>
      </c>
      <c r="E132" s="95">
        <f>'[1]Норматив и фактически 2017'!$F$137</f>
        <v>622.984</v>
      </c>
      <c r="F132" s="112">
        <f t="shared" si="84"/>
        <v>406.21408131318015</v>
      </c>
      <c r="G132" s="70">
        <f t="shared" si="85"/>
        <v>314.5315631607954</v>
      </c>
      <c r="H132" s="70">
        <f t="shared" si="86"/>
        <v>91.68251815238476</v>
      </c>
      <c r="I132" s="26">
        <f t="shared" si="87"/>
        <v>50</v>
      </c>
      <c r="J132" s="26">
        <f>'[1]А-4'!G156</f>
        <v>50</v>
      </c>
      <c r="K132" s="26">
        <f>'[1]А-4'!H156</f>
        <v>0</v>
      </c>
      <c r="L132" s="21">
        <f>'[1]А-4'!T156</f>
        <v>7</v>
      </c>
      <c r="M132" s="21">
        <f>'[1]А-4'!AF156</f>
        <v>0</v>
      </c>
      <c r="N132" s="21">
        <f t="shared" si="88"/>
        <v>1.4</v>
      </c>
      <c r="O132" s="21"/>
      <c r="P132" s="26">
        <f t="shared" si="81"/>
        <v>0.7</v>
      </c>
      <c r="Q132" s="26">
        <f t="shared" si="89"/>
        <v>0</v>
      </c>
      <c r="R132" s="22">
        <f t="shared" si="90"/>
        <v>220</v>
      </c>
      <c r="S132" s="22">
        <f t="shared" si="91"/>
        <v>0</v>
      </c>
      <c r="T132" s="16">
        <f t="shared" si="92"/>
        <v>220</v>
      </c>
      <c r="U132" s="24">
        <f t="shared" si="94"/>
        <v>77</v>
      </c>
      <c r="V132" s="9">
        <v>155</v>
      </c>
      <c r="W132" s="24">
        <f t="shared" si="93"/>
        <v>77</v>
      </c>
      <c r="X132" s="48">
        <f t="shared" si="83"/>
        <v>0.5415863460193195</v>
      </c>
    </row>
    <row r="133" spans="1:24" ht="12.75">
      <c r="A133" s="119">
        <v>120</v>
      </c>
      <c r="B133" s="40" t="s">
        <v>57</v>
      </c>
      <c r="C133" s="41"/>
      <c r="D133" s="18">
        <f>'[1]А-4'!$F$157</f>
        <v>5</v>
      </c>
      <c r="E133" s="95">
        <f>'[1]Норматив и фактически 2017'!$F$138</f>
        <v>225.0354</v>
      </c>
      <c r="F133" s="112">
        <f t="shared" si="84"/>
        <v>146.73338043022616</v>
      </c>
      <c r="G133" s="70">
        <f t="shared" si="85"/>
        <v>113.61565646712411</v>
      </c>
      <c r="H133" s="70">
        <f t="shared" si="86"/>
        <v>33.117723963102044</v>
      </c>
      <c r="I133" s="26">
        <f t="shared" si="87"/>
        <v>57.2</v>
      </c>
      <c r="J133" s="26">
        <f>'[1]А-4'!G157</f>
        <v>44.1</v>
      </c>
      <c r="K133" s="26">
        <f>'[1]А-4'!H157</f>
        <v>13.100000000000001</v>
      </c>
      <c r="L133" s="21">
        <f>'[1]А-4'!T157</f>
        <v>22</v>
      </c>
      <c r="M133" s="21">
        <f>'[1]А-4'!AF157</f>
        <v>1</v>
      </c>
      <c r="N133" s="21">
        <f t="shared" si="88"/>
        <v>5</v>
      </c>
      <c r="O133" s="21">
        <f>ROUND(M133/K133*10,3)</f>
        <v>0.763</v>
      </c>
      <c r="P133" s="26">
        <f t="shared" si="81"/>
        <v>2.4</v>
      </c>
      <c r="Q133" s="26">
        <f t="shared" si="89"/>
        <v>0.4</v>
      </c>
      <c r="R133" s="22">
        <f t="shared" si="90"/>
        <v>272</v>
      </c>
      <c r="S133" s="22">
        <f t="shared" si="91"/>
        <v>13</v>
      </c>
      <c r="T133" s="16">
        <f t="shared" si="92"/>
        <v>285</v>
      </c>
      <c r="U133" s="24">
        <f t="shared" si="94"/>
        <v>99</v>
      </c>
      <c r="V133" s="9">
        <v>30</v>
      </c>
      <c r="W133" s="24">
        <f t="shared" si="93"/>
        <v>30</v>
      </c>
      <c r="X133" s="48">
        <f t="shared" si="83"/>
        <v>1.9422983316023419</v>
      </c>
    </row>
    <row r="134" spans="1:24" ht="12.75">
      <c r="A134" s="119">
        <v>121</v>
      </c>
      <c r="B134" s="185" t="s">
        <v>144</v>
      </c>
      <c r="C134" s="186"/>
      <c r="D134" s="18">
        <f>'[1]А-4'!$F$158</f>
        <v>0</v>
      </c>
      <c r="E134" s="95">
        <f>'[1]Норматив и фактически 2017'!$F$139</f>
        <v>296.717</v>
      </c>
      <c r="F134" s="112">
        <f t="shared" si="84"/>
        <v>193.47306442059966</v>
      </c>
      <c r="G134" s="70">
        <f t="shared" si="85"/>
        <v>149.8061937808703</v>
      </c>
      <c r="H134" s="70">
        <f t="shared" si="86"/>
        <v>43.666870639729346</v>
      </c>
      <c r="I134" s="26">
        <f t="shared" si="87"/>
        <v>0</v>
      </c>
      <c r="J134" s="26">
        <f>'[1]А-4'!G158</f>
        <v>0</v>
      </c>
      <c r="K134" s="26">
        <f>'[1]А-4'!H158</f>
        <v>0</v>
      </c>
      <c r="L134" s="21">
        <f>'[1]А-4'!T158</f>
        <v>0</v>
      </c>
      <c r="M134" s="21">
        <f>'[1]А-4'!AF158</f>
        <v>0</v>
      </c>
      <c r="N134" s="21"/>
      <c r="O134" s="21"/>
      <c r="P134" s="26">
        <f t="shared" si="81"/>
        <v>0</v>
      </c>
      <c r="Q134" s="26">
        <f t="shared" si="89"/>
        <v>0</v>
      </c>
      <c r="R134" s="22">
        <f t="shared" si="90"/>
        <v>0</v>
      </c>
      <c r="S134" s="22">
        <f t="shared" si="91"/>
        <v>0</v>
      </c>
      <c r="T134" s="16">
        <f t="shared" si="92"/>
        <v>0</v>
      </c>
      <c r="U134" s="24">
        <f t="shared" si="94"/>
        <v>0</v>
      </c>
      <c r="V134" s="9">
        <v>0</v>
      </c>
      <c r="W134" s="24">
        <f t="shared" si="93"/>
        <v>0</v>
      </c>
      <c r="X134" s="48">
        <f t="shared" si="83"/>
        <v>0</v>
      </c>
    </row>
    <row r="135" spans="1:24" ht="12.75">
      <c r="A135" s="119">
        <v>122</v>
      </c>
      <c r="B135" s="90" t="s">
        <v>58</v>
      </c>
      <c r="C135" s="117"/>
      <c r="D135" s="18">
        <f>'[1]А-4'!$F$159</f>
        <v>0</v>
      </c>
      <c r="E135" s="95">
        <f>'[1]Норматив и фактически 2017'!$F$140</f>
        <v>14.267</v>
      </c>
      <c r="F135" s="112">
        <f t="shared" si="84"/>
        <v>9.302736985372242</v>
      </c>
      <c r="G135" s="70">
        <f t="shared" si="85"/>
        <v>7.203109247773726</v>
      </c>
      <c r="H135" s="70">
        <f t="shared" si="86"/>
        <v>2.099627737598515</v>
      </c>
      <c r="I135" s="26">
        <f t="shared" si="87"/>
        <v>0</v>
      </c>
      <c r="J135" s="26">
        <f>'[1]А-4'!G159</f>
        <v>0</v>
      </c>
      <c r="K135" s="26">
        <f>'[1]А-4'!H159</f>
        <v>0</v>
      </c>
      <c r="L135" s="21">
        <f>'[1]А-4'!T59</f>
        <v>131</v>
      </c>
      <c r="M135" s="21">
        <f>'[1]А-4'!AF159</f>
        <v>0</v>
      </c>
      <c r="N135" s="21"/>
      <c r="O135" s="21"/>
      <c r="P135" s="26">
        <f t="shared" si="81"/>
        <v>0</v>
      </c>
      <c r="Q135" s="26">
        <f t="shared" si="89"/>
        <v>0</v>
      </c>
      <c r="R135" s="22">
        <f t="shared" si="90"/>
        <v>0</v>
      </c>
      <c r="S135" s="22">
        <f t="shared" si="91"/>
        <v>0</v>
      </c>
      <c r="T135" s="16">
        <f t="shared" si="92"/>
        <v>0</v>
      </c>
      <c r="U135" s="24">
        <f t="shared" si="94"/>
        <v>0</v>
      </c>
      <c r="V135" s="9">
        <v>0</v>
      </c>
      <c r="W135" s="24">
        <f t="shared" si="93"/>
        <v>0</v>
      </c>
      <c r="X135" s="48">
        <f t="shared" si="83"/>
        <v>0</v>
      </c>
    </row>
    <row r="136" spans="1:24" ht="12.75">
      <c r="A136" s="119">
        <v>123</v>
      </c>
      <c r="B136" s="42" t="s">
        <v>73</v>
      </c>
      <c r="C136" s="43"/>
      <c r="D136" s="18">
        <f>'[1]А-4'!$F$160</f>
        <v>3</v>
      </c>
      <c r="E136" s="95">
        <f>'[1]Норматив и фактически 2017'!$F$141</f>
        <v>139.5626</v>
      </c>
      <c r="F136" s="112">
        <f t="shared" si="84"/>
        <v>91.0012028313389</v>
      </c>
      <c r="G136" s="70">
        <f t="shared" si="85"/>
        <v>70.46223135230571</v>
      </c>
      <c r="H136" s="70">
        <f t="shared" si="86"/>
        <v>20.53897147903319</v>
      </c>
      <c r="I136" s="26">
        <f t="shared" si="87"/>
        <v>35.89999999999999</v>
      </c>
      <c r="J136" s="26">
        <f>'[1]А-4'!G160</f>
        <v>33.599999999999994</v>
      </c>
      <c r="K136" s="26">
        <f>'[1]А-4'!H160</f>
        <v>2.3</v>
      </c>
      <c r="L136" s="21">
        <f>'[1]А-4'!T160</f>
        <v>14</v>
      </c>
      <c r="M136" s="21">
        <f>'[1]А-4'!AF160</f>
        <v>0</v>
      </c>
      <c r="N136" s="21">
        <f t="shared" si="88"/>
        <v>4.2</v>
      </c>
      <c r="O136" s="21">
        <f>ROUND(M136/K136*10,3)</f>
        <v>0</v>
      </c>
      <c r="P136" s="26">
        <f t="shared" si="81"/>
        <v>2</v>
      </c>
      <c r="Q136" s="26">
        <f t="shared" si="89"/>
        <v>0</v>
      </c>
      <c r="R136" s="22">
        <f t="shared" si="90"/>
        <v>140</v>
      </c>
      <c r="S136" s="22">
        <f t="shared" si="91"/>
        <v>0</v>
      </c>
      <c r="T136" s="16">
        <f t="shared" si="92"/>
        <v>140</v>
      </c>
      <c r="U136" s="24">
        <f t="shared" si="94"/>
        <v>49</v>
      </c>
      <c r="V136" s="9">
        <v>42</v>
      </c>
      <c r="W136" s="24">
        <f t="shared" si="93"/>
        <v>42</v>
      </c>
      <c r="X136" s="48">
        <f t="shared" si="83"/>
        <v>1.5384412034583232</v>
      </c>
    </row>
    <row r="137" spans="1:24" ht="12.75">
      <c r="A137" s="119">
        <v>124</v>
      </c>
      <c r="B137" s="177" t="s">
        <v>74</v>
      </c>
      <c r="C137" s="188"/>
      <c r="D137" s="18">
        <f>'[1]А-4'!$F$161</f>
        <v>4</v>
      </c>
      <c r="E137" s="95">
        <f>'[1]Норматив и фактически 2017'!$F$142</f>
        <v>257.0065</v>
      </c>
      <c r="F137" s="112">
        <f t="shared" si="84"/>
        <v>167.5800009133715</v>
      </c>
      <c r="G137" s="70">
        <f t="shared" si="85"/>
        <v>129.75719470722353</v>
      </c>
      <c r="H137" s="70">
        <f t="shared" si="86"/>
        <v>37.822806206147945</v>
      </c>
      <c r="I137" s="26">
        <f t="shared" si="87"/>
        <v>45.94</v>
      </c>
      <c r="J137" s="26">
        <f>'[1]А-4'!G161</f>
        <v>45.94</v>
      </c>
      <c r="K137" s="26">
        <f>'[1]А-4'!H161</f>
        <v>0</v>
      </c>
      <c r="L137" s="21">
        <f>'[1]А-4'!T161</f>
        <v>19</v>
      </c>
      <c r="M137" s="21">
        <f>'[1]А-4'!AF161</f>
        <v>0</v>
      </c>
      <c r="N137" s="21">
        <f t="shared" si="88"/>
        <v>4.1</v>
      </c>
      <c r="O137" s="21"/>
      <c r="P137" s="26">
        <f t="shared" si="81"/>
        <v>2</v>
      </c>
      <c r="Q137" s="26">
        <f t="shared" si="89"/>
        <v>0</v>
      </c>
      <c r="R137" s="22">
        <f t="shared" si="90"/>
        <v>259</v>
      </c>
      <c r="S137" s="22">
        <f t="shared" si="91"/>
        <v>0</v>
      </c>
      <c r="T137" s="16">
        <f t="shared" si="92"/>
        <v>259</v>
      </c>
      <c r="U137" s="24">
        <f t="shared" si="94"/>
        <v>90</v>
      </c>
      <c r="V137" s="9">
        <v>77</v>
      </c>
      <c r="W137" s="24">
        <f t="shared" si="93"/>
        <v>77</v>
      </c>
      <c r="X137" s="48">
        <f t="shared" si="83"/>
        <v>1.545530484475215</v>
      </c>
    </row>
    <row r="138" spans="1:24" ht="12.75">
      <c r="A138" s="119">
        <v>125</v>
      </c>
      <c r="B138" s="118"/>
      <c r="C138" s="43"/>
      <c r="D138" s="18"/>
      <c r="E138" s="95"/>
      <c r="F138" s="112"/>
      <c r="G138" s="70"/>
      <c r="H138" s="70"/>
      <c r="I138" s="26"/>
      <c r="J138" s="26"/>
      <c r="K138" s="26"/>
      <c r="L138" s="21"/>
      <c r="M138" s="21"/>
      <c r="N138" s="21"/>
      <c r="O138" s="21"/>
      <c r="P138" s="26"/>
      <c r="Q138" s="26"/>
      <c r="R138" s="22"/>
      <c r="S138" s="22"/>
      <c r="T138" s="16"/>
      <c r="U138" s="24"/>
      <c r="V138" s="9"/>
      <c r="W138" s="24"/>
      <c r="X138" s="48"/>
    </row>
    <row r="139" spans="1:24" ht="12.75">
      <c r="A139" s="119">
        <v>126</v>
      </c>
      <c r="B139" s="118"/>
      <c r="C139" s="43"/>
      <c r="D139" s="18"/>
      <c r="E139" s="95"/>
      <c r="F139" s="112"/>
      <c r="G139" s="70"/>
      <c r="H139" s="70"/>
      <c r="I139" s="26"/>
      <c r="J139" s="26"/>
      <c r="K139" s="26"/>
      <c r="L139" s="21"/>
      <c r="M139" s="21"/>
      <c r="N139" s="21"/>
      <c r="O139" s="21"/>
      <c r="P139" s="26"/>
      <c r="Q139" s="26"/>
      <c r="R139" s="22"/>
      <c r="S139" s="22"/>
      <c r="T139" s="16"/>
      <c r="U139" s="24"/>
      <c r="V139" s="9"/>
      <c r="W139" s="24"/>
      <c r="X139" s="48"/>
    </row>
    <row r="140" spans="1:24" ht="12.75">
      <c r="A140" s="119">
        <v>127</v>
      </c>
      <c r="B140" s="118"/>
      <c r="C140" s="43"/>
      <c r="D140" s="18"/>
      <c r="E140" s="95"/>
      <c r="F140" s="112"/>
      <c r="G140" s="70"/>
      <c r="H140" s="70"/>
      <c r="I140" s="26"/>
      <c r="J140" s="26"/>
      <c r="K140" s="26"/>
      <c r="L140" s="21"/>
      <c r="M140" s="21"/>
      <c r="N140" s="21"/>
      <c r="O140" s="21"/>
      <c r="P140" s="26"/>
      <c r="Q140" s="26"/>
      <c r="R140" s="22"/>
      <c r="S140" s="22"/>
      <c r="T140" s="16"/>
      <c r="U140" s="24"/>
      <c r="V140" s="9"/>
      <c r="W140" s="24"/>
      <c r="X140" s="48"/>
    </row>
    <row r="141" spans="1:25" ht="18">
      <c r="A141" s="199" t="s">
        <v>91</v>
      </c>
      <c r="B141" s="200"/>
      <c r="C141" s="201"/>
      <c r="D141" s="120">
        <f aca="true" t="shared" si="95" ref="D141:M141">SUM(D142:D143)</f>
        <v>45</v>
      </c>
      <c r="E141" s="74">
        <f t="shared" si="95"/>
        <v>1918.73</v>
      </c>
      <c r="F141" s="74">
        <f t="shared" si="95"/>
        <v>1521</v>
      </c>
      <c r="G141" s="120">
        <f t="shared" si="95"/>
        <v>1082.0394000000001</v>
      </c>
      <c r="H141" s="120">
        <f t="shared" si="95"/>
        <v>438.96060000000006</v>
      </c>
      <c r="I141" s="120">
        <f t="shared" si="95"/>
        <v>458.17999999999995</v>
      </c>
      <c r="J141" s="120">
        <f t="shared" si="95"/>
        <v>388.4</v>
      </c>
      <c r="K141" s="120">
        <f t="shared" si="95"/>
        <v>69.78</v>
      </c>
      <c r="L141" s="74">
        <f t="shared" si="95"/>
        <v>62</v>
      </c>
      <c r="M141" s="74">
        <f t="shared" si="95"/>
        <v>1</v>
      </c>
      <c r="N141" s="74">
        <f>ROUND(L141/J141*10,2)</f>
        <v>1.6</v>
      </c>
      <c r="O141" s="75">
        <f>ROUND(M141/K141*10,2)</f>
        <v>0.14</v>
      </c>
      <c r="P141" s="76">
        <f aca="true" t="shared" si="96" ref="P141:P148">ROUND(N141*$M$5,1)</f>
        <v>0.8</v>
      </c>
      <c r="Q141" s="75">
        <f aca="true" t="shared" si="97" ref="Q141:Q148">ROUND(O141*$M$5,2)</f>
        <v>0.07</v>
      </c>
      <c r="R141" s="73">
        <f aca="true" t="shared" si="98" ref="R141:W141">SUM(R142:R143)</f>
        <v>797</v>
      </c>
      <c r="S141" s="73">
        <f t="shared" si="98"/>
        <v>49</v>
      </c>
      <c r="T141" s="77">
        <f t="shared" si="98"/>
        <v>846</v>
      </c>
      <c r="U141" s="77">
        <f t="shared" si="98"/>
        <v>295</v>
      </c>
      <c r="V141" s="77">
        <f t="shared" si="98"/>
        <v>247</v>
      </c>
      <c r="W141" s="77">
        <f t="shared" si="98"/>
        <v>294</v>
      </c>
      <c r="X141" s="48">
        <f aca="true" t="shared" si="99" ref="X141:X148">T141/F141</f>
        <v>0.5562130177514792</v>
      </c>
      <c r="Y141">
        <f>1521/E141</f>
        <v>0.7927118458563738</v>
      </c>
    </row>
    <row r="142" spans="1:24" ht="12.75">
      <c r="A142" s="28">
        <v>128</v>
      </c>
      <c r="B142" s="8" t="s">
        <v>22</v>
      </c>
      <c r="C142" s="9"/>
      <c r="D142" s="18">
        <f>'[1]А-4'!$F$170</f>
        <v>39</v>
      </c>
      <c r="E142" s="17">
        <f>'[1]Норматив и фактически 2017'!$F$147</f>
        <v>1679</v>
      </c>
      <c r="F142" s="114">
        <f>E142*$Y$141</f>
        <v>1330.9631891928516</v>
      </c>
      <c r="G142" s="70">
        <f>F142*0.7114</f>
        <v>946.8472127917946</v>
      </c>
      <c r="H142" s="70">
        <f>F142*0.2886</f>
        <v>384.115976401057</v>
      </c>
      <c r="I142" s="26">
        <f>J142+K142</f>
        <v>389.97999999999996</v>
      </c>
      <c r="J142" s="26">
        <f>'[1]А-4'!G170</f>
        <v>353.79999999999995</v>
      </c>
      <c r="K142" s="26">
        <f>'[1]А-4'!$H$170</f>
        <v>36.18</v>
      </c>
      <c r="L142" s="21">
        <f>'[1]А-4'!T170</f>
        <v>55</v>
      </c>
      <c r="M142" s="21">
        <f>'[1]А-4'!AF170</f>
        <v>1</v>
      </c>
      <c r="N142" s="21">
        <f>L142*10/J142</f>
        <v>1.5545505935556814</v>
      </c>
      <c r="O142" s="21">
        <f>ROUND(M142/K142*10,3)</f>
        <v>0.276</v>
      </c>
      <c r="P142" s="26">
        <f t="shared" si="96"/>
        <v>0.7</v>
      </c>
      <c r="Q142" s="21">
        <f t="shared" si="97"/>
        <v>0.13</v>
      </c>
      <c r="R142" s="22">
        <f>ROUNDDOWN((P142*G142),0)</f>
        <v>662</v>
      </c>
      <c r="S142" s="22">
        <f>ROUNDDOWN((Q142*H142),0)</f>
        <v>49</v>
      </c>
      <c r="T142" s="16">
        <f>R142+S142</f>
        <v>711</v>
      </c>
      <c r="U142" s="24">
        <f>ROUNDDOWN(IF(T142&lt;$O$3,"0",T142*35/100),0)</f>
        <v>248</v>
      </c>
      <c r="V142" s="9">
        <v>247</v>
      </c>
      <c r="W142" s="24">
        <f>IF(V142&lt;=U142,V142,U142)</f>
        <v>247</v>
      </c>
      <c r="X142" s="48">
        <f t="shared" si="99"/>
        <v>0.534199597534458</v>
      </c>
    </row>
    <row r="143" spans="1:24" ht="12.75">
      <c r="A143" s="28">
        <v>129</v>
      </c>
      <c r="B143" s="8" t="s">
        <v>29</v>
      </c>
      <c r="C143" s="8"/>
      <c r="D143" s="18">
        <f>'[1]А-4'!$F$171</f>
        <v>6</v>
      </c>
      <c r="E143" s="17">
        <f>'[1]Норматив и фактически 2017'!$F$148</f>
        <v>239.73</v>
      </c>
      <c r="F143" s="114">
        <f>E143*$Y$141</f>
        <v>190.03681080714847</v>
      </c>
      <c r="G143" s="70">
        <f>F143*0.7114</f>
        <v>135.19218720820544</v>
      </c>
      <c r="H143" s="70">
        <f>F143*0.2886</f>
        <v>54.84462359894305</v>
      </c>
      <c r="I143" s="26">
        <f>J143+K143</f>
        <v>68.19999999999999</v>
      </c>
      <c r="J143" s="26">
        <f>'[1]А-4'!G171</f>
        <v>34.6</v>
      </c>
      <c r="K143" s="26">
        <f>'[1]А-4'!$H$171</f>
        <v>33.599999999999994</v>
      </c>
      <c r="L143" s="21">
        <f>'[1]А-4'!T171</f>
        <v>7</v>
      </c>
      <c r="M143" s="21">
        <f>'[1]А-4'!AF171</f>
        <v>0</v>
      </c>
      <c r="N143" s="21">
        <f>L143*10/J143</f>
        <v>2.0231213872832368</v>
      </c>
      <c r="O143" s="21">
        <f>ROUND(M143/K143*10,3)</f>
        <v>0</v>
      </c>
      <c r="P143" s="26">
        <f t="shared" si="96"/>
        <v>1</v>
      </c>
      <c r="Q143" s="21">
        <f t="shared" si="97"/>
        <v>0</v>
      </c>
      <c r="R143" s="22">
        <f>ROUNDDOWN((P143*G143),0)</f>
        <v>135</v>
      </c>
      <c r="S143" s="22">
        <f>ROUNDDOWN((Q143*H143),0)</f>
        <v>0</v>
      </c>
      <c r="T143" s="16">
        <f>R143+S143</f>
        <v>135</v>
      </c>
      <c r="U143" s="24">
        <f>ROUNDDOWN(IF(T143&lt;$O$3,"0",T143*35/100),0)</f>
        <v>47</v>
      </c>
      <c r="V143" s="9"/>
      <c r="W143" s="24">
        <v>47</v>
      </c>
      <c r="X143" s="48">
        <f t="shared" si="99"/>
        <v>0.7103886843112703</v>
      </c>
    </row>
    <row r="144" spans="1:37" ht="18">
      <c r="A144" s="199" t="s">
        <v>92</v>
      </c>
      <c r="B144" s="200"/>
      <c r="C144" s="201"/>
      <c r="D144" s="120">
        <f aca="true" t="shared" si="100" ref="D144:M144">SUM(D145:D147)</f>
        <v>58</v>
      </c>
      <c r="E144" s="74">
        <f t="shared" si="100"/>
        <v>2906.8070000000002</v>
      </c>
      <c r="F144" s="74">
        <f t="shared" si="100"/>
        <v>1713.9999999999998</v>
      </c>
      <c r="G144" s="120">
        <f t="shared" si="100"/>
        <v>1329.0356</v>
      </c>
      <c r="H144" s="120">
        <f t="shared" si="100"/>
        <v>384.96439999999996</v>
      </c>
      <c r="I144" s="120">
        <f t="shared" si="100"/>
        <v>1117.22</v>
      </c>
      <c r="J144" s="120">
        <f t="shared" si="100"/>
        <v>539.86</v>
      </c>
      <c r="K144" s="120">
        <f t="shared" si="100"/>
        <v>577.3599999999999</v>
      </c>
      <c r="L144" s="74">
        <f t="shared" si="100"/>
        <v>33</v>
      </c>
      <c r="M144" s="74">
        <f t="shared" si="100"/>
        <v>1</v>
      </c>
      <c r="N144" s="74">
        <f>ROUND(L144/J144*10,2)</f>
        <v>0.61</v>
      </c>
      <c r="O144" s="75">
        <f>ROUND(M144/K144*10,2)</f>
        <v>0.02</v>
      </c>
      <c r="P144" s="76">
        <f t="shared" si="96"/>
        <v>0.3</v>
      </c>
      <c r="Q144" s="75">
        <f t="shared" si="97"/>
        <v>0.01</v>
      </c>
      <c r="R144" s="73">
        <f>SUM(R145:R147)</f>
        <v>436</v>
      </c>
      <c r="S144" s="73">
        <f>SUM(S145:S147)</f>
        <v>3</v>
      </c>
      <c r="T144" s="77">
        <f>SUM(T145:T147)</f>
        <v>439</v>
      </c>
      <c r="U144" s="77">
        <f>SUM(U145:U147)</f>
        <v>150</v>
      </c>
      <c r="V144" s="77">
        <f>SUM(V145:V146)</f>
        <v>195</v>
      </c>
      <c r="W144" s="77">
        <f>SUM(W145:W146)</f>
        <v>123</v>
      </c>
      <c r="X144" s="48">
        <f t="shared" si="99"/>
        <v>0.2561260210035006</v>
      </c>
      <c r="Y144">
        <f>1714/E144</f>
        <v>0.5896504308679592</v>
      </c>
      <c r="AB144">
        <v>1580</v>
      </c>
      <c r="AD144" s="20">
        <f>AB144-T144</f>
        <v>1141</v>
      </c>
      <c r="AK144">
        <f>2956-R144</f>
        <v>2520</v>
      </c>
    </row>
    <row r="145" spans="1:24" ht="12.75">
      <c r="A145" s="28">
        <v>130</v>
      </c>
      <c r="B145" s="8" t="s">
        <v>23</v>
      </c>
      <c r="C145" s="9"/>
      <c r="D145" s="18">
        <f>'[1]А-4'!$F$175</f>
        <v>44</v>
      </c>
      <c r="E145" s="17">
        <f>'[1]Норматив и фактически 2017'!$F$151</f>
        <v>2316</v>
      </c>
      <c r="F145" s="114">
        <f>E145*$Y$144</f>
        <v>1365.6303978901935</v>
      </c>
      <c r="G145" s="70">
        <f>F145*0.7754</f>
        <v>1058.909810524056</v>
      </c>
      <c r="H145" s="70">
        <f>F145*0.2246</f>
        <v>306.72058736613747</v>
      </c>
      <c r="I145" s="26">
        <f>J145+K145</f>
        <v>882.52</v>
      </c>
      <c r="J145" s="26">
        <f>'[1]А-4'!G175</f>
        <v>441.26</v>
      </c>
      <c r="K145" s="26">
        <f>'[1]А-4'!$J$175</f>
        <v>441.26</v>
      </c>
      <c r="L145" s="21">
        <f>'[1]А-4'!T175</f>
        <v>19</v>
      </c>
      <c r="M145" s="21">
        <f>'[1]А-4'!AF175</f>
        <v>0</v>
      </c>
      <c r="N145" s="21">
        <f>L145*10/J145</f>
        <v>0.43058514254634456</v>
      </c>
      <c r="O145" s="21">
        <f>ROUND(M145/K145*10,3)</f>
        <v>0</v>
      </c>
      <c r="P145" s="26">
        <f t="shared" si="96"/>
        <v>0.2</v>
      </c>
      <c r="Q145" s="21">
        <f t="shared" si="97"/>
        <v>0</v>
      </c>
      <c r="R145" s="22">
        <f aca="true" t="shared" si="101" ref="R145:S147">ROUNDDOWN((P145*G145),0)</f>
        <v>211</v>
      </c>
      <c r="S145" s="22">
        <f t="shared" si="101"/>
        <v>0</v>
      </c>
      <c r="T145" s="16">
        <f>R145+S145</f>
        <v>211</v>
      </c>
      <c r="U145" s="24">
        <f>ROUNDDOWN(IF(T145&lt;$O$3,"0",T145*35/100),0)</f>
        <v>73</v>
      </c>
      <c r="V145" s="9">
        <v>145</v>
      </c>
      <c r="W145" s="24">
        <f>IF(V145&lt;=U145,V145,U145)</f>
        <v>73</v>
      </c>
      <c r="X145" s="48">
        <f t="shared" si="99"/>
        <v>0.15450739843370556</v>
      </c>
    </row>
    <row r="146" spans="1:24" ht="12.75">
      <c r="A146" s="28">
        <v>131</v>
      </c>
      <c r="B146" s="8" t="s">
        <v>39</v>
      </c>
      <c r="C146" s="9"/>
      <c r="D146" s="18">
        <f>'[1]А-4'!$F$176</f>
        <v>11</v>
      </c>
      <c r="E146" s="17">
        <f>'[1]Норматив и фактически 2017'!$F$152</f>
        <v>529.2654</v>
      </c>
      <c r="F146" s="114">
        <f>E146*$Y$144</f>
        <v>312.08157115350275</v>
      </c>
      <c r="G146" s="70">
        <f>F146*0.7754</f>
        <v>241.98805027242602</v>
      </c>
      <c r="H146" s="70">
        <f>F146*0.2246</f>
        <v>70.09352088107671</v>
      </c>
      <c r="I146" s="26">
        <f>J146+K146</f>
        <v>169.20000000000002</v>
      </c>
      <c r="J146" s="26">
        <f>'[1]А-4'!G176</f>
        <v>66.9</v>
      </c>
      <c r="K146" s="26">
        <f>'[1]А-4'!$J$176</f>
        <v>102.30000000000001</v>
      </c>
      <c r="L146" s="21">
        <f>'[1]А-4'!T176</f>
        <v>12</v>
      </c>
      <c r="M146" s="21">
        <f>'[1]А-4'!AF176</f>
        <v>1</v>
      </c>
      <c r="N146" s="21">
        <f>L146*10/J146</f>
        <v>1.7937219730941703</v>
      </c>
      <c r="O146" s="21">
        <f>ROUND(M146/K146*10,3)</f>
        <v>0.098</v>
      </c>
      <c r="P146" s="26">
        <f t="shared" si="96"/>
        <v>0.9</v>
      </c>
      <c r="Q146" s="21">
        <f t="shared" si="97"/>
        <v>0.05</v>
      </c>
      <c r="R146" s="22">
        <f t="shared" si="101"/>
        <v>217</v>
      </c>
      <c r="S146" s="22">
        <f t="shared" si="101"/>
        <v>3</v>
      </c>
      <c r="T146" s="16">
        <f>R146+S146</f>
        <v>220</v>
      </c>
      <c r="U146" s="24">
        <f>ROUNDDOWN(IF(T146&lt;$O$3,"0",T146*35/100),0)</f>
        <v>77</v>
      </c>
      <c r="V146" s="9">
        <v>50</v>
      </c>
      <c r="W146" s="24">
        <f>IF(V146&lt;=U146,V146,U146)</f>
        <v>50</v>
      </c>
      <c r="X146" s="48">
        <f t="shared" si="99"/>
        <v>0.7049439003618357</v>
      </c>
    </row>
    <row r="147" spans="1:24" ht="12.75">
      <c r="A147" s="28">
        <v>132</v>
      </c>
      <c r="B147" s="40" t="s">
        <v>106</v>
      </c>
      <c r="C147" s="41"/>
      <c r="D147" s="18">
        <f>'[1]А-4'!$F$177</f>
        <v>3</v>
      </c>
      <c r="E147" s="17">
        <f>'[1]Норматив и фактически 2017'!$F$153</f>
        <v>61.5416</v>
      </c>
      <c r="F147" s="114">
        <f>E147*$Y$144</f>
        <v>36.2880309563036</v>
      </c>
      <c r="G147" s="70">
        <f>F147*0.7754</f>
        <v>28.13773920351781</v>
      </c>
      <c r="H147" s="70">
        <f>F147*0.2246</f>
        <v>8.150291752785789</v>
      </c>
      <c r="I147" s="26">
        <f>J147+K147</f>
        <v>65.5</v>
      </c>
      <c r="J147" s="26">
        <f>'[1]А-4'!G177</f>
        <v>31.7</v>
      </c>
      <c r="K147" s="26">
        <f>'[1]А-4'!$J$177</f>
        <v>33.8</v>
      </c>
      <c r="L147" s="21">
        <f>'[1]А-4'!T177</f>
        <v>2</v>
      </c>
      <c r="M147" s="21">
        <f>'[1]А-4'!AF177</f>
        <v>0</v>
      </c>
      <c r="N147" s="21">
        <f>L147*10/J147</f>
        <v>0.6309148264984227</v>
      </c>
      <c r="O147" s="21">
        <f>ROUND(M147/K147*10,3)</f>
        <v>0</v>
      </c>
      <c r="P147" s="26">
        <f t="shared" si="96"/>
        <v>0.3</v>
      </c>
      <c r="Q147" s="21">
        <f t="shared" si="97"/>
        <v>0</v>
      </c>
      <c r="R147" s="22">
        <f t="shared" si="101"/>
        <v>8</v>
      </c>
      <c r="S147" s="22">
        <f t="shared" si="101"/>
        <v>0</v>
      </c>
      <c r="T147" s="16">
        <f>R147+S147</f>
        <v>8</v>
      </c>
      <c r="U147" s="24">
        <f>ROUNDDOWN(IF(T147&lt;$O$3,"0",T147*35/100),0)</f>
        <v>0</v>
      </c>
      <c r="V147" s="9"/>
      <c r="W147" s="24">
        <f>IF(V147&lt;=U147,V147,U147)</f>
        <v>0</v>
      </c>
      <c r="X147" s="48">
        <f t="shared" si="99"/>
        <v>0.22045836572486496</v>
      </c>
    </row>
    <row r="148" spans="1:24" ht="39.75" customHeight="1">
      <c r="A148" s="9"/>
      <c r="B148" s="183" t="s">
        <v>24</v>
      </c>
      <c r="C148" s="184"/>
      <c r="D148" s="32">
        <f aca="true" t="shared" si="102" ref="D148:O148">D144+D141+D125+D113+D89+D71+D54+D10+D7</f>
        <v>494</v>
      </c>
      <c r="E148" s="100">
        <f t="shared" si="102"/>
        <v>45222.825</v>
      </c>
      <c r="F148" s="116">
        <f t="shared" si="102"/>
        <v>32304.39592055482</v>
      </c>
      <c r="G148" s="72">
        <f t="shared" si="102"/>
        <v>18584.012062303926</v>
      </c>
      <c r="H148" s="72">
        <f t="shared" si="102"/>
        <v>13720.383858250892</v>
      </c>
      <c r="I148" s="72">
        <f t="shared" si="102"/>
        <v>5887.49</v>
      </c>
      <c r="J148" s="72">
        <f t="shared" si="102"/>
        <v>4168.77</v>
      </c>
      <c r="K148" s="72">
        <f t="shared" si="102"/>
        <v>1718.7199999999998</v>
      </c>
      <c r="L148" s="72">
        <f t="shared" si="102"/>
        <v>999</v>
      </c>
      <c r="M148" s="72">
        <f t="shared" si="102"/>
        <v>284</v>
      </c>
      <c r="N148" s="72">
        <f t="shared" si="102"/>
        <v>22.419999999999998</v>
      </c>
      <c r="O148" s="72">
        <f t="shared" si="102"/>
        <v>15.581000000000001</v>
      </c>
      <c r="P148" s="85">
        <f t="shared" si="96"/>
        <v>10.8</v>
      </c>
      <c r="Q148" s="86">
        <f t="shared" si="97"/>
        <v>7.48</v>
      </c>
      <c r="R148" s="72">
        <f aca="true" t="shared" si="103" ref="R148:W148">R144+R141+R125+R113+R89+R71+R54+R10+R7</f>
        <v>18384</v>
      </c>
      <c r="S148" s="72">
        <f t="shared" si="103"/>
        <v>8446</v>
      </c>
      <c r="T148" s="32">
        <f t="shared" si="103"/>
        <v>26830</v>
      </c>
      <c r="U148" s="32">
        <f t="shared" si="103"/>
        <v>8710</v>
      </c>
      <c r="V148" s="32">
        <f t="shared" si="103"/>
        <v>5611</v>
      </c>
      <c r="W148" s="32">
        <f t="shared" si="103"/>
        <v>6605</v>
      </c>
      <c r="X148" s="48">
        <f t="shared" si="99"/>
        <v>0.8305371215107124</v>
      </c>
    </row>
  </sheetData>
  <sheetProtection password="CC47" sheet="1"/>
  <mergeCells count="50">
    <mergeCell ref="B1:W1"/>
    <mergeCell ref="O5:P5"/>
    <mergeCell ref="B7:C7"/>
    <mergeCell ref="B13:C13"/>
    <mergeCell ref="L3:M3"/>
    <mergeCell ref="B148:C148"/>
    <mergeCell ref="B6:C6"/>
    <mergeCell ref="B137:C137"/>
    <mergeCell ref="A141:C141"/>
    <mergeCell ref="A144:C144"/>
    <mergeCell ref="B23:C23"/>
    <mergeCell ref="B24:C24"/>
    <mergeCell ref="B10:C10"/>
    <mergeCell ref="B17:C17"/>
    <mergeCell ref="B48:C48"/>
    <mergeCell ref="B63:C63"/>
    <mergeCell ref="B47:C47"/>
    <mergeCell ref="B11:C11"/>
    <mergeCell ref="B83:C83"/>
    <mergeCell ref="B12:C12"/>
    <mergeCell ref="B54:C54"/>
    <mergeCell ref="B71:C71"/>
    <mergeCell ref="B28:C28"/>
    <mergeCell ref="B46:C46"/>
    <mergeCell ref="B62:C62"/>
    <mergeCell ref="B112:C112"/>
    <mergeCell ref="B103:C103"/>
    <mergeCell ref="A113:C113"/>
    <mergeCell ref="B106:C106"/>
    <mergeCell ref="B108:C108"/>
    <mergeCell ref="B109:C109"/>
    <mergeCell ref="B110:C110"/>
    <mergeCell ref="B111:C111"/>
    <mergeCell ref="B134:C134"/>
    <mergeCell ref="B123:C123"/>
    <mergeCell ref="B124:C124"/>
    <mergeCell ref="B121:C121"/>
    <mergeCell ref="B122:C122"/>
    <mergeCell ref="B128:C128"/>
    <mergeCell ref="A125:C125"/>
    <mergeCell ref="B119:C119"/>
    <mergeCell ref="B76:C76"/>
    <mergeCell ref="B81:C81"/>
    <mergeCell ref="B86:C86"/>
    <mergeCell ref="B104:C104"/>
    <mergeCell ref="B105:C105"/>
    <mergeCell ref="B91:C91"/>
    <mergeCell ref="B88:C88"/>
    <mergeCell ref="B87:C87"/>
    <mergeCell ref="A89:C89"/>
  </mergeCells>
  <printOptions/>
  <pageMargins left="0" right="0" top="0.1968503937007874" bottom="0.1968503937007874" header="0" footer="0"/>
  <pageSetup horizontalDpi="600" verticalDpi="600" orientation="landscape" paperSize="9" scale="63" r:id="rId1"/>
  <rowBreaks count="3" manualBreakCount="3">
    <brk id="56" max="22" man="1"/>
    <brk id="107" max="22" man="1"/>
    <brk id="148" max="23" man="1"/>
  </rowBreaks>
  <colBreaks count="1" manualBreakCount="1">
    <brk id="23" max="1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>
    <tabColor indexed="11"/>
  </sheetPr>
  <dimension ref="A1:AK148"/>
  <sheetViews>
    <sheetView zoomScale="75" zoomScaleNormal="75" zoomScaleSheetLayoutView="75" workbookViewId="0" topLeftCell="F121">
      <selection activeCell="V103" sqref="V103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3" width="36.00390625" style="0" customWidth="1"/>
    <col min="4" max="4" width="8.00390625" style="0" customWidth="1"/>
    <col min="5" max="5" width="13.57421875" style="0" customWidth="1"/>
    <col min="6" max="6" width="11.57421875" style="0" customWidth="1"/>
    <col min="7" max="7" width="12.140625" style="27" customWidth="1"/>
    <col min="8" max="8" width="11.7109375" style="27" customWidth="1"/>
    <col min="9" max="9" width="9.421875" style="27" customWidth="1"/>
    <col min="10" max="10" width="10.140625" style="27" customWidth="1"/>
    <col min="11" max="11" width="9.8515625" style="27" customWidth="1"/>
    <col min="12" max="12" width="11.140625" style="27" customWidth="1"/>
    <col min="13" max="13" width="9.8515625" style="27" customWidth="1"/>
    <col min="14" max="14" width="8.57421875" style="27" customWidth="1"/>
    <col min="15" max="15" width="8.8515625" style="27" customWidth="1"/>
    <col min="16" max="16" width="7.28125" style="27" customWidth="1"/>
    <col min="17" max="17" width="7.57421875" style="27" customWidth="1"/>
    <col min="18" max="18" width="7.7109375" style="27" customWidth="1"/>
    <col min="19" max="19" width="7.8515625" style="27" customWidth="1"/>
    <col min="20" max="20" width="7.7109375" style="0" customWidth="1"/>
    <col min="21" max="21" width="7.00390625" style="0" customWidth="1"/>
    <col min="22" max="22" width="5.7109375" style="0" customWidth="1"/>
    <col min="23" max="23" width="6.421875" style="0" customWidth="1"/>
    <col min="24" max="24" width="5.421875" style="0" customWidth="1"/>
    <col min="25" max="25" width="7.8515625" style="0" customWidth="1"/>
    <col min="26" max="26" width="5.140625" style="0" customWidth="1"/>
    <col min="27" max="27" width="5.57421875" style="0" customWidth="1"/>
    <col min="28" max="28" width="8.00390625" style="0" customWidth="1"/>
    <col min="29" max="29" width="5.57421875" style="0" customWidth="1"/>
    <col min="30" max="30" width="9.421875" style="0" customWidth="1"/>
    <col min="31" max="31" width="5.00390625" style="0" customWidth="1"/>
    <col min="32" max="32" width="5.421875" style="0" customWidth="1"/>
    <col min="33" max="33" width="5.57421875" style="0" customWidth="1"/>
    <col min="34" max="34" width="5.8515625" style="0" customWidth="1"/>
    <col min="35" max="35" width="5.140625" style="0" customWidth="1"/>
    <col min="36" max="36" width="4.7109375" style="0" customWidth="1"/>
  </cols>
  <sheetData>
    <row r="1" spans="2:34" ht="67.5" customHeight="1">
      <c r="B1" s="1"/>
      <c r="C1" s="219" t="s">
        <v>179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173"/>
      <c r="AE1" s="2"/>
      <c r="AF1" s="1" t="s">
        <v>0</v>
      </c>
      <c r="AG1" s="1"/>
      <c r="AH1" s="2"/>
    </row>
    <row r="2" spans="1:35" ht="15.75">
      <c r="A2" s="2"/>
      <c r="B2" s="3"/>
      <c r="C2" s="3"/>
      <c r="D2" s="3"/>
      <c r="E2" s="3"/>
      <c r="F2" s="3"/>
      <c r="G2" s="59"/>
      <c r="H2" s="59"/>
      <c r="I2" s="59"/>
      <c r="J2" s="59"/>
      <c r="K2" s="59"/>
      <c r="L2" s="59"/>
      <c r="M2" s="59"/>
      <c r="N2" s="59"/>
      <c r="O2" s="58"/>
      <c r="P2" s="58"/>
      <c r="Q2" s="58"/>
      <c r="R2" s="58"/>
      <c r="S2" s="5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35.25" customHeight="1">
      <c r="A3" s="2"/>
      <c r="B3" s="2" t="s">
        <v>1</v>
      </c>
      <c r="C3" s="3" t="s">
        <v>75</v>
      </c>
      <c r="D3" s="3"/>
      <c r="E3" s="3"/>
      <c r="F3" s="3"/>
      <c r="G3" s="60"/>
      <c r="H3" s="60"/>
      <c r="I3" s="60"/>
      <c r="J3" s="60"/>
      <c r="K3" s="60"/>
      <c r="L3" s="223" t="s">
        <v>42</v>
      </c>
      <c r="M3" s="224"/>
      <c r="N3" s="61"/>
      <c r="O3" s="62">
        <v>33</v>
      </c>
      <c r="P3" s="63" t="s">
        <v>41</v>
      </c>
      <c r="R3" s="58" t="s">
        <v>3</v>
      </c>
      <c r="S3" s="58"/>
      <c r="T3" s="2"/>
      <c r="U3" s="2"/>
      <c r="V3" s="57">
        <f>'[1]Норматив и фактически 2017'!$J$156</f>
        <v>494</v>
      </c>
      <c r="W3" s="2" t="s">
        <v>2</v>
      </c>
      <c r="X3" s="2"/>
      <c r="Y3" s="4"/>
      <c r="Z3" s="2" t="s">
        <v>2</v>
      </c>
      <c r="AA3" s="2" t="s">
        <v>3</v>
      </c>
      <c r="AB3" s="2"/>
      <c r="AC3" s="2"/>
      <c r="AD3" s="2"/>
      <c r="AE3" s="4">
        <f>C13</f>
        <v>0</v>
      </c>
      <c r="AF3" s="2" t="s">
        <v>2</v>
      </c>
      <c r="AG3" s="2"/>
      <c r="AH3" s="2"/>
      <c r="AI3" s="2"/>
    </row>
    <row r="4" spans="1:35" ht="12.75">
      <c r="A4" s="2"/>
      <c r="B4" s="2"/>
      <c r="C4" s="2"/>
      <c r="D4" s="2"/>
      <c r="E4" s="2"/>
      <c r="F4" s="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 t="s">
        <v>4</v>
      </c>
      <c r="S4" s="58"/>
      <c r="T4" s="2"/>
      <c r="U4" s="2"/>
      <c r="V4" s="122">
        <f>'[1]Норматив и фактически 2017'!$K$156</f>
        <v>215</v>
      </c>
      <c r="W4" s="2" t="s">
        <v>2</v>
      </c>
      <c r="X4" s="2"/>
      <c r="Y4" s="5"/>
      <c r="Z4" s="2"/>
      <c r="AA4" s="2" t="s">
        <v>4</v>
      </c>
      <c r="AB4" s="2"/>
      <c r="AC4" s="2"/>
      <c r="AD4" s="2"/>
      <c r="AE4" s="4">
        <f>'[2]Норматив и фактически'!$K$130</f>
        <v>144</v>
      </c>
      <c r="AF4" s="2" t="s">
        <v>2</v>
      </c>
      <c r="AG4" s="2"/>
      <c r="AH4" s="2"/>
      <c r="AI4" s="2"/>
    </row>
    <row r="5" spans="1:35" ht="12.75">
      <c r="A5" s="2"/>
      <c r="B5" s="2" t="s">
        <v>5</v>
      </c>
      <c r="C5" s="2"/>
      <c r="D5" s="2"/>
      <c r="E5" s="2"/>
      <c r="F5" s="2"/>
      <c r="G5" s="58"/>
      <c r="H5" s="58"/>
      <c r="I5" s="58"/>
      <c r="J5" s="58"/>
      <c r="K5" s="64"/>
      <c r="L5" s="64"/>
      <c r="M5" s="65">
        <v>0.35</v>
      </c>
      <c r="N5" s="66"/>
      <c r="O5" s="220" t="s">
        <v>121</v>
      </c>
      <c r="P5" s="220"/>
      <c r="Q5" s="67"/>
      <c r="R5" s="58" t="s">
        <v>6</v>
      </c>
      <c r="S5" s="58"/>
      <c r="T5" s="2"/>
      <c r="U5" s="2"/>
      <c r="V5" s="121">
        <f>'[1]Норматив и фактически 2017'!$G$156</f>
        <v>751</v>
      </c>
      <c r="W5" s="2" t="s">
        <v>2</v>
      </c>
      <c r="X5" s="2"/>
      <c r="Y5" s="2"/>
      <c r="Z5" s="2"/>
      <c r="AA5" s="2" t="s">
        <v>6</v>
      </c>
      <c r="AB5" s="2"/>
      <c r="AC5" s="2"/>
      <c r="AD5" s="2"/>
      <c r="AE5" s="6">
        <v>450</v>
      </c>
      <c r="AF5" s="2" t="s">
        <v>2</v>
      </c>
      <c r="AG5" s="2"/>
      <c r="AH5" s="2"/>
      <c r="AI5" s="2"/>
    </row>
    <row r="6" spans="1:24" ht="94.5" customHeight="1">
      <c r="A6" s="55" t="s">
        <v>7</v>
      </c>
      <c r="B6" s="175" t="s">
        <v>9</v>
      </c>
      <c r="C6" s="176"/>
      <c r="D6" s="56" t="s">
        <v>37</v>
      </c>
      <c r="E6" s="56" t="s">
        <v>105</v>
      </c>
      <c r="F6" s="56" t="s">
        <v>93</v>
      </c>
      <c r="G6" s="68" t="s">
        <v>119</v>
      </c>
      <c r="H6" s="68" t="s">
        <v>120</v>
      </c>
      <c r="I6" s="68" t="s">
        <v>115</v>
      </c>
      <c r="J6" s="68" t="s">
        <v>108</v>
      </c>
      <c r="K6" s="68" t="s">
        <v>107</v>
      </c>
      <c r="L6" s="68" t="s">
        <v>109</v>
      </c>
      <c r="M6" s="68" t="s">
        <v>110</v>
      </c>
      <c r="N6" s="68" t="s">
        <v>111</v>
      </c>
      <c r="O6" s="68" t="s">
        <v>112</v>
      </c>
      <c r="P6" s="68" t="s">
        <v>114</v>
      </c>
      <c r="Q6" s="68" t="s">
        <v>113</v>
      </c>
      <c r="R6" s="68" t="s">
        <v>116</v>
      </c>
      <c r="S6" s="68" t="s">
        <v>117</v>
      </c>
      <c r="T6" s="56" t="s">
        <v>118</v>
      </c>
      <c r="U6" s="56" t="s">
        <v>97</v>
      </c>
      <c r="V6" s="56" t="s">
        <v>98</v>
      </c>
      <c r="W6" s="56" t="s">
        <v>99</v>
      </c>
      <c r="X6" s="87" t="s">
        <v>122</v>
      </c>
    </row>
    <row r="7" spans="1:24" ht="23.25" customHeight="1">
      <c r="A7" s="6"/>
      <c r="B7" s="221" t="s">
        <v>87</v>
      </c>
      <c r="C7" s="222"/>
      <c r="D7" s="78">
        <f aca="true" t="shared" si="0" ref="D7:M7">SUM(D8:D9)</f>
        <v>5</v>
      </c>
      <c r="E7" s="88">
        <f t="shared" si="0"/>
        <v>85.688</v>
      </c>
      <c r="F7" s="88">
        <f t="shared" si="0"/>
        <v>81.98982390589865</v>
      </c>
      <c r="G7" s="88">
        <f t="shared" si="0"/>
        <v>34.34553723418094</v>
      </c>
      <c r="H7" s="88">
        <f t="shared" si="0"/>
        <v>47.644286671717694</v>
      </c>
      <c r="I7" s="76">
        <f t="shared" si="0"/>
        <v>51.9</v>
      </c>
      <c r="J7" s="76">
        <f t="shared" si="0"/>
        <v>30.8</v>
      </c>
      <c r="K7" s="76">
        <f t="shared" si="0"/>
        <v>21.1</v>
      </c>
      <c r="L7" s="76">
        <f t="shared" si="0"/>
        <v>0</v>
      </c>
      <c r="M7" s="76">
        <f t="shared" si="0"/>
        <v>0</v>
      </c>
      <c r="N7" s="74">
        <f>ROUND(L7/J7*10,2)</f>
        <v>0</v>
      </c>
      <c r="O7" s="74">
        <f>ROUND(M7/K7*10,2)</f>
        <v>0</v>
      </c>
      <c r="P7" s="76">
        <f aca="true" t="shared" si="1" ref="P7:P47">ROUND(N7*$M$5,1)</f>
        <v>0</v>
      </c>
      <c r="Q7" s="74">
        <f>ROUND(O7*$M$5,2)</f>
        <v>0</v>
      </c>
      <c r="R7" s="78">
        <f aca="true" t="shared" si="2" ref="R7:W7">SUM(R8:R9)</f>
        <v>0</v>
      </c>
      <c r="S7" s="78">
        <f t="shared" si="2"/>
        <v>0</v>
      </c>
      <c r="T7" s="78">
        <f t="shared" si="2"/>
        <v>0</v>
      </c>
      <c r="U7" s="78">
        <f t="shared" si="2"/>
        <v>0</v>
      </c>
      <c r="V7" s="78">
        <f t="shared" si="2"/>
        <v>0</v>
      </c>
      <c r="W7" s="78">
        <f t="shared" si="2"/>
        <v>0</v>
      </c>
      <c r="X7" s="48">
        <f>T7/F7</f>
        <v>0</v>
      </c>
    </row>
    <row r="8" spans="1:30" ht="20.25" customHeight="1">
      <c r="A8" s="28">
        <v>1</v>
      </c>
      <c r="B8" s="45" t="s">
        <v>82</v>
      </c>
      <c r="C8" s="44"/>
      <c r="D8" s="78">
        <f>'[1]А-4'!$F$10</f>
        <v>2</v>
      </c>
      <c r="E8" s="95">
        <f>'[1]Норматив и фактически 2017'!$F$12</f>
        <v>47.5</v>
      </c>
      <c r="F8" s="96">
        <f>E8*$Y$10</f>
        <v>45.44996540390936</v>
      </c>
      <c r="G8" s="70">
        <f>F8*0.4189</f>
        <v>19.03899050769763</v>
      </c>
      <c r="H8" s="70">
        <f>F8*0.5811</f>
        <v>26.410974896211727</v>
      </c>
      <c r="I8" s="69">
        <f>J8+K8</f>
        <v>20</v>
      </c>
      <c r="J8" s="19">
        <f>'[1]А-4'!$G$10</f>
        <v>11.5</v>
      </c>
      <c r="K8" s="19">
        <f>'[1]А-4'!$H$10</f>
        <v>8.5</v>
      </c>
      <c r="L8" s="22">
        <f>'[1]А-4'!$R$10</f>
        <v>0</v>
      </c>
      <c r="M8" s="22">
        <f>'[1]А-4'!$AD$10</f>
        <v>0</v>
      </c>
      <c r="N8" s="22">
        <f>L8*10/J8</f>
        <v>0</v>
      </c>
      <c r="O8" s="98">
        <f>ROUND(M8/K8*10,2)</f>
        <v>0</v>
      </c>
      <c r="P8" s="104">
        <f t="shared" si="1"/>
        <v>0</v>
      </c>
      <c r="Q8" s="98">
        <f>ROUND(O8*$M$5,2)</f>
        <v>0</v>
      </c>
      <c r="R8" s="22">
        <f>ROUNDDOWN((P8*G8),0)</f>
        <v>0</v>
      </c>
      <c r="S8" s="22">
        <f>ROUNDDOWN((Q8*H8),0)</f>
        <v>0</v>
      </c>
      <c r="T8" s="16">
        <f>R8+S8</f>
        <v>0</v>
      </c>
      <c r="U8" s="24">
        <f>ROUNDDOWN(IF(T8&lt;$O$3,"0",T8*18/100),0)</f>
        <v>0</v>
      </c>
      <c r="V8" s="9">
        <v>0</v>
      </c>
      <c r="W8" s="24">
        <f>IF(V8&lt;=U8,V8,U8)</f>
        <v>0</v>
      </c>
      <c r="X8" s="48">
        <f>T8/F8</f>
        <v>0</v>
      </c>
      <c r="AD8">
        <f>Q10*S10</f>
        <v>676.0300000000001</v>
      </c>
    </row>
    <row r="9" spans="1:24" ht="20.25" customHeight="1">
      <c r="A9" s="28">
        <v>2</v>
      </c>
      <c r="B9" s="101" t="s">
        <v>132</v>
      </c>
      <c r="C9" s="102"/>
      <c r="D9" s="78">
        <f>'[1]А-4'!$F$11</f>
        <v>3</v>
      </c>
      <c r="E9" s="95">
        <f>'[1]Норматив и фактически 2017'!$F$13</f>
        <v>38.188</v>
      </c>
      <c r="F9" s="96">
        <f>E9*$Y$10</f>
        <v>36.53985850198928</v>
      </c>
      <c r="G9" s="70">
        <f>F9*0.4189</f>
        <v>15.306546726483308</v>
      </c>
      <c r="H9" s="70">
        <f>F9*0.5811</f>
        <v>21.233311775505967</v>
      </c>
      <c r="I9" s="69">
        <f>J9+K9</f>
        <v>31.9</v>
      </c>
      <c r="J9" s="19">
        <f>'[1]А-4'!$G$11</f>
        <v>19.3</v>
      </c>
      <c r="K9" s="26">
        <f>'[1]А-4'!$H$11</f>
        <v>12.6</v>
      </c>
      <c r="L9" s="22">
        <f>'[1]А-4'!$R$11</f>
        <v>0</v>
      </c>
      <c r="M9" s="22">
        <f>'[1]А-4'!$AD$11</f>
        <v>0</v>
      </c>
      <c r="N9" s="22">
        <f>L9*10/J9</f>
        <v>0</v>
      </c>
      <c r="O9" s="98">
        <f>ROUND(M9/K9*10,2)</f>
        <v>0</v>
      </c>
      <c r="P9" s="104">
        <f t="shared" si="1"/>
        <v>0</v>
      </c>
      <c r="Q9" s="98">
        <f>ROUND(O9*$M$5,2)</f>
        <v>0</v>
      </c>
      <c r="R9" s="22">
        <f>ROUNDDOWN((P9*G9),0)</f>
        <v>0</v>
      </c>
      <c r="S9" s="22">
        <f>ROUNDDOWN((Q9*H9),0)</f>
        <v>0</v>
      </c>
      <c r="T9" s="16">
        <f>R9+S9</f>
        <v>0</v>
      </c>
      <c r="U9" s="24">
        <f>ROUNDDOWN(IF(T9&lt;$O$3,"0",T9*18/100),0)</f>
        <v>0</v>
      </c>
      <c r="V9" s="9"/>
      <c r="W9" s="24">
        <f>IF(V9&lt;=U9,V9,U9)</f>
        <v>0</v>
      </c>
      <c r="X9" s="48"/>
    </row>
    <row r="10" spans="1:30" ht="29.25" customHeight="1">
      <c r="A10" s="28"/>
      <c r="B10" s="213" t="s">
        <v>86</v>
      </c>
      <c r="C10" s="214"/>
      <c r="D10" s="78">
        <f>SUM(D11:D53)</f>
        <v>75</v>
      </c>
      <c r="E10" s="93">
        <f aca="true" t="shared" si="3" ref="E10:M10">SUM(E11:E47)</f>
        <v>6807.977000000001</v>
      </c>
      <c r="F10" s="88">
        <f t="shared" si="3"/>
        <v>6514.154086749697</v>
      </c>
      <c r="G10" s="88">
        <f t="shared" si="3"/>
        <v>2728.779146939448</v>
      </c>
      <c r="H10" s="88">
        <f t="shared" si="3"/>
        <v>3785.374939810249</v>
      </c>
      <c r="I10" s="74">
        <f t="shared" si="3"/>
        <v>775.4300000000002</v>
      </c>
      <c r="J10" s="74">
        <f t="shared" si="3"/>
        <v>527.4899999999999</v>
      </c>
      <c r="K10" s="74">
        <f t="shared" si="3"/>
        <v>247.94000000000003</v>
      </c>
      <c r="L10" s="74">
        <f t="shared" si="3"/>
        <v>176</v>
      </c>
      <c r="M10" s="74">
        <f t="shared" si="3"/>
        <v>47</v>
      </c>
      <c r="N10" s="74">
        <f>ROUND(L10/J10*10,2)</f>
        <v>3.34</v>
      </c>
      <c r="O10" s="74">
        <f>ROUND(M10/K10*10,2)</f>
        <v>1.9</v>
      </c>
      <c r="P10" s="76">
        <f t="shared" si="1"/>
        <v>1.2</v>
      </c>
      <c r="Q10" s="74">
        <f>ROUND(O10*$M$5,2)</f>
        <v>0.67</v>
      </c>
      <c r="R10" s="78">
        <f aca="true" t="shared" si="4" ref="R10:W10">SUM(R11:R47)</f>
        <v>1617</v>
      </c>
      <c r="S10" s="78">
        <f t="shared" si="4"/>
        <v>1009</v>
      </c>
      <c r="T10" s="78">
        <f t="shared" si="4"/>
        <v>2626</v>
      </c>
      <c r="U10" s="78">
        <f t="shared" si="4"/>
        <v>438</v>
      </c>
      <c r="V10" s="78">
        <f t="shared" si="4"/>
        <v>140</v>
      </c>
      <c r="W10" s="78">
        <f t="shared" si="4"/>
        <v>142</v>
      </c>
      <c r="X10" s="48">
        <f aca="true" t="shared" si="5" ref="X10:X47">T10/F10</f>
        <v>0.4031221805670043</v>
      </c>
      <c r="Y10" s="48">
        <f>AB10/AB11</f>
        <v>0.9568413769244075</v>
      </c>
      <c r="AB10">
        <v>5531.5</v>
      </c>
      <c r="AD10">
        <v>2473</v>
      </c>
    </row>
    <row r="11" spans="1:28" ht="17.25" customHeight="1">
      <c r="A11" s="28">
        <v>3</v>
      </c>
      <c r="B11" s="208" t="s">
        <v>79</v>
      </c>
      <c r="C11" s="209"/>
      <c r="D11" s="18">
        <f>'[1]А-4'!$F$13</f>
        <v>3</v>
      </c>
      <c r="E11" s="95">
        <f>'[1]Норматив и фактически 2017'!$F$16</f>
        <v>648.017</v>
      </c>
      <c r="F11" s="112">
        <f aca="true" t="shared" si="6" ref="F11:F47">E11*$Y$10</f>
        <v>620.0494785504238</v>
      </c>
      <c r="G11" s="70">
        <f aca="true" t="shared" si="7" ref="G11:G47">F11*0.4189</f>
        <v>259.73872656477255</v>
      </c>
      <c r="H11" s="70">
        <f aca="true" t="shared" si="8" ref="H11:H47">F11*0.5811</f>
        <v>360.3107519856513</v>
      </c>
      <c r="I11" s="26">
        <f aca="true" t="shared" si="9" ref="I11:I47">J11+K11</f>
        <v>30</v>
      </c>
      <c r="J11" s="14">
        <f>'[1]А-4'!$G$13</f>
        <v>21.6</v>
      </c>
      <c r="K11" s="26">
        <f>'[1]А-4'!$H$13</f>
        <v>8.4</v>
      </c>
      <c r="L11" s="26">
        <f>'[1]А-4'!$R$13</f>
        <v>7</v>
      </c>
      <c r="M11" s="26">
        <f>'[1]А-4'!$AD$13</f>
        <v>0</v>
      </c>
      <c r="N11" s="21">
        <f aca="true" t="shared" si="10" ref="N11:N47">L11*10/J11</f>
        <v>3.2407407407407405</v>
      </c>
      <c r="O11" s="21">
        <f aca="true" t="shared" si="11" ref="O11:O46">M11*10/K11</f>
        <v>0</v>
      </c>
      <c r="P11" s="26">
        <f t="shared" si="1"/>
        <v>1.1</v>
      </c>
      <c r="Q11" s="26">
        <f aca="true" t="shared" si="12" ref="Q11:Q47">ROUND(O11*$M$5,1)</f>
        <v>0</v>
      </c>
      <c r="R11" s="22">
        <f aca="true" t="shared" si="13" ref="R11:R47">ROUNDDOWN((P11*G11),0)</f>
        <v>285</v>
      </c>
      <c r="S11" s="22">
        <f aca="true" t="shared" si="14" ref="S11:S47">ROUNDDOWN((Q11*H11),0)</f>
        <v>0</v>
      </c>
      <c r="T11" s="16">
        <f aca="true" t="shared" si="15" ref="T11:T47">R11+S11</f>
        <v>285</v>
      </c>
      <c r="U11" s="24">
        <f>ROUNDDOWN(IF(T11&lt;$O$3,"0",T11*18/100),0)</f>
        <v>51</v>
      </c>
      <c r="V11" s="9">
        <v>15</v>
      </c>
      <c r="W11" s="24">
        <f aca="true" t="shared" si="16" ref="W11:W47">IF(V11&lt;=U11,V11,U11)</f>
        <v>15</v>
      </c>
      <c r="X11" s="48">
        <f t="shared" si="5"/>
        <v>0.4596407381331636</v>
      </c>
      <c r="AB11">
        <v>5781</v>
      </c>
    </row>
    <row r="12" spans="1:24" ht="17.25" customHeight="1">
      <c r="A12" s="28">
        <f aca="true" t="shared" si="17" ref="A12:A53">A11+1</f>
        <v>4</v>
      </c>
      <c r="B12" s="208" t="s">
        <v>80</v>
      </c>
      <c r="C12" s="209"/>
      <c r="D12" s="18">
        <f>'[1]А-4'!$F$14</f>
        <v>1</v>
      </c>
      <c r="E12" s="95">
        <f>'[1]Норматив и фактически 2017'!$F$17</f>
        <v>566</v>
      </c>
      <c r="F12" s="112">
        <f t="shared" si="6"/>
        <v>541.5722193392146</v>
      </c>
      <c r="G12" s="70">
        <f t="shared" si="7"/>
        <v>226.864602681197</v>
      </c>
      <c r="H12" s="70">
        <f t="shared" si="8"/>
        <v>314.70761665801757</v>
      </c>
      <c r="I12" s="26">
        <f t="shared" si="9"/>
        <v>10</v>
      </c>
      <c r="J12" s="19">
        <f>'[1]А-4'!$G$14</f>
        <v>5.9</v>
      </c>
      <c r="K12" s="19">
        <f>'[1]А-4'!$H$14</f>
        <v>4.1</v>
      </c>
      <c r="L12" s="26">
        <f>'[1]А-4'!$R$14</f>
        <v>0</v>
      </c>
      <c r="M12" s="26">
        <f>'[1]А-4'!$AD$14</f>
        <v>0</v>
      </c>
      <c r="N12" s="21">
        <f t="shared" si="10"/>
        <v>0</v>
      </c>
      <c r="O12" s="21">
        <f t="shared" si="11"/>
        <v>0</v>
      </c>
      <c r="P12" s="26">
        <f t="shared" si="1"/>
        <v>0</v>
      </c>
      <c r="Q12" s="26">
        <f t="shared" si="12"/>
        <v>0</v>
      </c>
      <c r="R12" s="22">
        <f t="shared" si="13"/>
        <v>0</v>
      </c>
      <c r="S12" s="22">
        <f t="shared" si="14"/>
        <v>0</v>
      </c>
      <c r="T12" s="16">
        <f t="shared" si="15"/>
        <v>0</v>
      </c>
      <c r="U12" s="24">
        <f aca="true" t="shared" si="18" ref="U12:U47">ROUNDDOWN(IF(T12&lt;$O$3,"0",T12*18/100),0)</f>
        <v>0</v>
      </c>
      <c r="V12" s="9">
        <v>11</v>
      </c>
      <c r="W12" s="24">
        <f t="shared" si="16"/>
        <v>0</v>
      </c>
      <c r="X12" s="48">
        <f t="shared" si="5"/>
        <v>0</v>
      </c>
    </row>
    <row r="13" spans="1:30" ht="12.75" customHeight="1">
      <c r="A13" s="28">
        <f t="shared" si="17"/>
        <v>5</v>
      </c>
      <c r="B13" s="208" t="s">
        <v>81</v>
      </c>
      <c r="C13" s="209"/>
      <c r="D13" s="18">
        <f>'[1]А-4'!$F$15</f>
        <v>2</v>
      </c>
      <c r="E13" s="95">
        <f>'[1]Норматив и фактически 2017'!$F$18</f>
        <v>144</v>
      </c>
      <c r="F13" s="112">
        <f t="shared" si="6"/>
        <v>137.78515827711468</v>
      </c>
      <c r="G13" s="70">
        <f t="shared" si="7"/>
        <v>57.718202802283336</v>
      </c>
      <c r="H13" s="70">
        <f t="shared" si="8"/>
        <v>80.06695547483133</v>
      </c>
      <c r="I13" s="26">
        <f t="shared" si="9"/>
        <v>20</v>
      </c>
      <c r="J13" s="19">
        <f>'[1]А-4'!$G$15</f>
        <v>17.1</v>
      </c>
      <c r="K13" s="19">
        <f>'[1]А-4'!$H$15</f>
        <v>2.9000000000000004</v>
      </c>
      <c r="L13" s="26">
        <f>'[1]А-4'!$R$15</f>
        <v>26</v>
      </c>
      <c r="M13" s="26">
        <f>'[1]А-4'!$AD$15</f>
        <v>0</v>
      </c>
      <c r="N13" s="21">
        <f t="shared" si="10"/>
        <v>15.204678362573098</v>
      </c>
      <c r="O13" s="21">
        <f t="shared" si="11"/>
        <v>0</v>
      </c>
      <c r="P13" s="26">
        <f t="shared" si="1"/>
        <v>5.3</v>
      </c>
      <c r="Q13" s="26">
        <f t="shared" si="12"/>
        <v>0</v>
      </c>
      <c r="R13" s="22">
        <f t="shared" si="13"/>
        <v>305</v>
      </c>
      <c r="S13" s="22">
        <f t="shared" si="14"/>
        <v>0</v>
      </c>
      <c r="T13" s="16">
        <f t="shared" si="15"/>
        <v>305</v>
      </c>
      <c r="U13" s="24">
        <f t="shared" si="18"/>
        <v>54</v>
      </c>
      <c r="V13" s="9">
        <v>7</v>
      </c>
      <c r="W13" s="24">
        <f t="shared" si="16"/>
        <v>7</v>
      </c>
      <c r="X13" s="48">
        <f t="shared" si="5"/>
        <v>2.2135910994606647</v>
      </c>
      <c r="AD13" s="20">
        <f>T10-AD10</f>
        <v>153</v>
      </c>
    </row>
    <row r="14" spans="1:34" ht="15.75">
      <c r="A14" s="28">
        <f t="shared" si="17"/>
        <v>6</v>
      </c>
      <c r="B14" s="45" t="s">
        <v>83</v>
      </c>
      <c r="C14" s="44"/>
      <c r="D14" s="25">
        <f>'[1]А-4'!$F$17</f>
        <v>2</v>
      </c>
      <c r="E14" s="95">
        <f>'[1]Норматив и фактически 2017'!$F$19</f>
        <v>40</v>
      </c>
      <c r="F14" s="112">
        <f t="shared" si="6"/>
        <v>38.2736550769763</v>
      </c>
      <c r="G14" s="70">
        <f t="shared" si="7"/>
        <v>16.03283411174537</v>
      </c>
      <c r="H14" s="70">
        <f t="shared" si="8"/>
        <v>22.240820965230924</v>
      </c>
      <c r="I14" s="26">
        <f t="shared" si="9"/>
        <v>17.6</v>
      </c>
      <c r="J14" s="71">
        <f>'[1]А-4'!$G$17</f>
        <v>15</v>
      </c>
      <c r="K14" s="71">
        <f>'[1]А-4'!$H$17</f>
        <v>2.6</v>
      </c>
      <c r="L14" s="26">
        <f>'[1]А-4'!$R$17</f>
        <v>13</v>
      </c>
      <c r="M14" s="26">
        <f>'[1]А-4'!$AD$17</f>
        <v>8</v>
      </c>
      <c r="N14" s="21">
        <f t="shared" si="10"/>
        <v>8.666666666666666</v>
      </c>
      <c r="O14" s="21">
        <f t="shared" si="11"/>
        <v>30.769230769230766</v>
      </c>
      <c r="P14" s="26">
        <f t="shared" si="1"/>
        <v>3</v>
      </c>
      <c r="Q14" s="26">
        <f t="shared" si="12"/>
        <v>10.8</v>
      </c>
      <c r="R14" s="22">
        <f t="shared" si="13"/>
        <v>48</v>
      </c>
      <c r="S14" s="22">
        <f t="shared" si="14"/>
        <v>240</v>
      </c>
      <c r="T14" s="16">
        <f t="shared" si="15"/>
        <v>288</v>
      </c>
      <c r="U14" s="24">
        <f t="shared" si="18"/>
        <v>51</v>
      </c>
      <c r="V14" s="9">
        <v>12</v>
      </c>
      <c r="W14" s="24">
        <f t="shared" si="16"/>
        <v>12</v>
      </c>
      <c r="X14" s="48">
        <f t="shared" si="5"/>
        <v>7.524758203019074</v>
      </c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24" ht="15.75">
      <c r="A15" s="28">
        <f t="shared" si="17"/>
        <v>7</v>
      </c>
      <c r="B15" s="45" t="s">
        <v>84</v>
      </c>
      <c r="C15" s="44"/>
      <c r="D15" s="18">
        <f>'[1]А-4'!$F$18</f>
        <v>3</v>
      </c>
      <c r="E15" s="95">
        <f>'[1]Норматив и фактически 2017'!$F$20</f>
        <v>85</v>
      </c>
      <c r="F15" s="112">
        <f t="shared" si="6"/>
        <v>81.33151703857465</v>
      </c>
      <c r="G15" s="70">
        <f t="shared" si="7"/>
        <v>34.06977248745892</v>
      </c>
      <c r="H15" s="70">
        <f t="shared" si="8"/>
        <v>47.261744551115726</v>
      </c>
      <c r="I15" s="26">
        <f t="shared" si="9"/>
        <v>31.1</v>
      </c>
      <c r="J15" s="71">
        <f>'[1]А-4'!$G$18</f>
        <v>18.1</v>
      </c>
      <c r="K15" s="71">
        <f>'[1]А-4'!$H$18</f>
        <v>13</v>
      </c>
      <c r="L15" s="26">
        <f>'[1]А-4'!$R$18</f>
        <v>17</v>
      </c>
      <c r="M15" s="26">
        <f>'[1]А-4'!$AD$18</f>
        <v>11</v>
      </c>
      <c r="N15" s="21">
        <f t="shared" si="10"/>
        <v>9.392265193370164</v>
      </c>
      <c r="O15" s="21">
        <f t="shared" si="11"/>
        <v>8.461538461538462</v>
      </c>
      <c r="P15" s="26">
        <f t="shared" si="1"/>
        <v>3.3</v>
      </c>
      <c r="Q15" s="26">
        <f t="shared" si="12"/>
        <v>3</v>
      </c>
      <c r="R15" s="22">
        <f t="shared" si="13"/>
        <v>112</v>
      </c>
      <c r="S15" s="22">
        <f t="shared" si="14"/>
        <v>141</v>
      </c>
      <c r="T15" s="16">
        <f t="shared" si="15"/>
        <v>253</v>
      </c>
      <c r="U15" s="24">
        <f t="shared" si="18"/>
        <v>45</v>
      </c>
      <c r="V15" s="9">
        <v>17</v>
      </c>
      <c r="W15" s="24">
        <f t="shared" si="16"/>
        <v>17</v>
      </c>
      <c r="X15" s="48">
        <f t="shared" si="5"/>
        <v>3.1107252048428515</v>
      </c>
    </row>
    <row r="16" spans="1:24" ht="12.75">
      <c r="A16" s="28">
        <f t="shared" si="17"/>
        <v>8</v>
      </c>
      <c r="B16" s="45" t="s">
        <v>85</v>
      </c>
      <c r="C16" s="45"/>
      <c r="D16" s="18">
        <f>'[1]А-4'!$F$19</f>
        <v>2</v>
      </c>
      <c r="E16" s="95">
        <f>'[1]Норматив и фактически 2017'!$F$21</f>
        <v>75.4</v>
      </c>
      <c r="F16" s="112">
        <f t="shared" si="6"/>
        <v>72.14583982010033</v>
      </c>
      <c r="G16" s="70">
        <f t="shared" si="7"/>
        <v>30.22189230064003</v>
      </c>
      <c r="H16" s="70">
        <f t="shared" si="8"/>
        <v>41.9239475194603</v>
      </c>
      <c r="I16" s="26">
        <f t="shared" si="9"/>
        <v>16.9</v>
      </c>
      <c r="J16" s="71">
        <f>'[1]А-4'!$G$19</f>
        <v>6.1</v>
      </c>
      <c r="K16" s="71">
        <f>'[1]А-4'!$H$19</f>
        <v>10.8</v>
      </c>
      <c r="L16" s="26">
        <f>'[1]А-4'!$R$19</f>
        <v>7</v>
      </c>
      <c r="M16" s="26">
        <f>'[1]А-4'!$AD$19</f>
        <v>8</v>
      </c>
      <c r="N16" s="21">
        <f t="shared" si="10"/>
        <v>11.475409836065575</v>
      </c>
      <c r="O16" s="21">
        <f t="shared" si="11"/>
        <v>7.4074074074074066</v>
      </c>
      <c r="P16" s="26">
        <f t="shared" si="1"/>
        <v>4</v>
      </c>
      <c r="Q16" s="26">
        <f t="shared" si="12"/>
        <v>2.6</v>
      </c>
      <c r="R16" s="22">
        <f t="shared" si="13"/>
        <v>120</v>
      </c>
      <c r="S16" s="22">
        <f t="shared" si="14"/>
        <v>109</v>
      </c>
      <c r="T16" s="16">
        <f t="shared" si="15"/>
        <v>229</v>
      </c>
      <c r="U16" s="24">
        <f t="shared" si="18"/>
        <v>41</v>
      </c>
      <c r="V16" s="9">
        <v>18</v>
      </c>
      <c r="W16" s="24">
        <f t="shared" si="16"/>
        <v>18</v>
      </c>
      <c r="X16" s="48">
        <f t="shared" si="5"/>
        <v>3.1741261945390646</v>
      </c>
    </row>
    <row r="17" spans="1:24" s="2" customFormat="1" ht="12.75">
      <c r="A17" s="28">
        <f t="shared" si="17"/>
        <v>9</v>
      </c>
      <c r="B17" s="215" t="s">
        <v>76</v>
      </c>
      <c r="C17" s="216"/>
      <c r="D17" s="18">
        <f>'[1]А-4'!$F$21</f>
        <v>3</v>
      </c>
      <c r="E17" s="95">
        <f>'[1]Норматив и фактически 2017'!$F$22</f>
        <v>136</v>
      </c>
      <c r="F17" s="112">
        <f t="shared" si="6"/>
        <v>130.13042726171943</v>
      </c>
      <c r="G17" s="70">
        <f t="shared" si="7"/>
        <v>54.51163597993427</v>
      </c>
      <c r="H17" s="70">
        <f t="shared" si="8"/>
        <v>75.61879128178515</v>
      </c>
      <c r="I17" s="26">
        <f t="shared" si="9"/>
        <v>35.1</v>
      </c>
      <c r="J17" s="19">
        <f>'[1]А-4'!$G$21</f>
        <v>23.200000000000003</v>
      </c>
      <c r="K17" s="19">
        <f>'[1]А-4'!$H$21</f>
        <v>11.9</v>
      </c>
      <c r="L17" s="26">
        <f>'[1]А-4'!$R$21</f>
        <v>5</v>
      </c>
      <c r="M17" s="26">
        <f>'[1]А-4'!$AD$21</f>
        <v>12</v>
      </c>
      <c r="N17" s="21">
        <f t="shared" si="10"/>
        <v>2.155172413793103</v>
      </c>
      <c r="O17" s="21">
        <f t="shared" si="11"/>
        <v>10.084033613445378</v>
      </c>
      <c r="P17" s="26">
        <f t="shared" si="1"/>
        <v>0.8</v>
      </c>
      <c r="Q17" s="26">
        <f t="shared" si="12"/>
        <v>3.5</v>
      </c>
      <c r="R17" s="22">
        <f t="shared" si="13"/>
        <v>43</v>
      </c>
      <c r="S17" s="22">
        <f t="shared" si="14"/>
        <v>264</v>
      </c>
      <c r="T17" s="16">
        <f t="shared" si="15"/>
        <v>307</v>
      </c>
      <c r="U17" s="24">
        <f t="shared" si="18"/>
        <v>55</v>
      </c>
      <c r="V17" s="9">
        <v>2</v>
      </c>
      <c r="W17" s="24">
        <f t="shared" si="16"/>
        <v>2</v>
      </c>
      <c r="X17" s="48">
        <f t="shared" si="5"/>
        <v>2.3591715362815107</v>
      </c>
    </row>
    <row r="18" spans="1:24" s="2" customFormat="1" ht="12.75">
      <c r="A18" s="28">
        <f t="shared" si="17"/>
        <v>10</v>
      </c>
      <c r="B18" s="46" t="s">
        <v>77</v>
      </c>
      <c r="C18" s="46"/>
      <c r="D18" s="18">
        <f>'[1]А-4'!$F$22</f>
        <v>0</v>
      </c>
      <c r="E18" s="95">
        <f>'[1]Норматив и фактически 2017'!$F$23</f>
        <v>113</v>
      </c>
      <c r="F18" s="112">
        <f t="shared" si="6"/>
        <v>108.12307559245805</v>
      </c>
      <c r="G18" s="70">
        <f t="shared" si="7"/>
        <v>45.292756365680674</v>
      </c>
      <c r="H18" s="70">
        <f t="shared" si="8"/>
        <v>62.83031922677737</v>
      </c>
      <c r="I18" s="26">
        <f t="shared" si="9"/>
        <v>0</v>
      </c>
      <c r="J18" s="19">
        <f>'[1]А-4'!$G$22</f>
        <v>0</v>
      </c>
      <c r="K18" s="19">
        <f>'[1]А-4'!$H$22</f>
        <v>0</v>
      </c>
      <c r="L18" s="26">
        <f>'[1]А-4'!$R$22</f>
        <v>0</v>
      </c>
      <c r="M18" s="26">
        <f>'[1]А-4'!$AD$22</f>
        <v>0</v>
      </c>
      <c r="N18" s="21"/>
      <c r="O18" s="21"/>
      <c r="P18" s="26">
        <f t="shared" si="1"/>
        <v>0</v>
      </c>
      <c r="Q18" s="26">
        <f t="shared" si="12"/>
        <v>0</v>
      </c>
      <c r="R18" s="22">
        <f t="shared" si="13"/>
        <v>0</v>
      </c>
      <c r="S18" s="22">
        <f t="shared" si="14"/>
        <v>0</v>
      </c>
      <c r="T18" s="16">
        <f t="shared" si="15"/>
        <v>0</v>
      </c>
      <c r="U18" s="24">
        <f t="shared" si="18"/>
        <v>0</v>
      </c>
      <c r="V18" s="23">
        <v>1</v>
      </c>
      <c r="W18" s="24">
        <f t="shared" si="16"/>
        <v>0</v>
      </c>
      <c r="X18" s="48">
        <f t="shared" si="5"/>
        <v>0</v>
      </c>
    </row>
    <row r="19" spans="1:24" ht="12.75">
      <c r="A19" s="28">
        <f t="shared" si="17"/>
        <v>11</v>
      </c>
      <c r="B19" s="46" t="s">
        <v>78</v>
      </c>
      <c r="C19" s="46"/>
      <c r="D19" s="18">
        <f>'[1]А-4'!$F$23</f>
        <v>1</v>
      </c>
      <c r="E19" s="95">
        <f>'[1]Норматив и фактически 2017'!$F$24</f>
        <v>205.097</v>
      </c>
      <c r="F19" s="112">
        <f t="shared" si="6"/>
        <v>196.2452958830652</v>
      </c>
      <c r="G19" s="70">
        <f t="shared" si="7"/>
        <v>82.20715444541601</v>
      </c>
      <c r="H19" s="70">
        <f t="shared" si="8"/>
        <v>114.03814143764919</v>
      </c>
      <c r="I19" s="26">
        <f t="shared" si="9"/>
        <v>11.34</v>
      </c>
      <c r="J19" s="19">
        <f>'[1]А-4'!$G$23</f>
        <v>11.34</v>
      </c>
      <c r="K19" s="19">
        <f>'[1]А-4'!$H$23</f>
        <v>0</v>
      </c>
      <c r="L19" s="26">
        <f>'[1]А-4'!$R$23</f>
        <v>0</v>
      </c>
      <c r="M19" s="26">
        <f>'[1]А-4'!$AD$23</f>
        <v>0</v>
      </c>
      <c r="N19" s="21">
        <f t="shared" si="10"/>
        <v>0</v>
      </c>
      <c r="O19" s="21"/>
      <c r="P19" s="26">
        <f t="shared" si="1"/>
        <v>0</v>
      </c>
      <c r="Q19" s="26">
        <f t="shared" si="12"/>
        <v>0</v>
      </c>
      <c r="R19" s="22">
        <f t="shared" si="13"/>
        <v>0</v>
      </c>
      <c r="S19" s="22">
        <f t="shared" si="14"/>
        <v>0</v>
      </c>
      <c r="T19" s="16">
        <f t="shared" si="15"/>
        <v>0</v>
      </c>
      <c r="U19" s="24">
        <f t="shared" si="18"/>
        <v>0</v>
      </c>
      <c r="V19" s="23">
        <v>3</v>
      </c>
      <c r="W19" s="24">
        <f t="shared" si="16"/>
        <v>0</v>
      </c>
      <c r="X19" s="48">
        <f t="shared" si="5"/>
        <v>0</v>
      </c>
    </row>
    <row r="20" spans="1:24" ht="12" customHeight="1">
      <c r="A20" s="28">
        <f t="shared" si="17"/>
        <v>12</v>
      </c>
      <c r="B20" s="80" t="s">
        <v>38</v>
      </c>
      <c r="C20" s="81"/>
      <c r="D20" s="18">
        <f>'[1]А-4'!$F$24</f>
        <v>0</v>
      </c>
      <c r="E20" s="95">
        <f>'[1]Норматив и фактически 2017'!$F$25</f>
        <v>116.6</v>
      </c>
      <c r="F20" s="112">
        <f t="shared" si="6"/>
        <v>111.56770454938591</v>
      </c>
      <c r="G20" s="70">
        <f t="shared" si="7"/>
        <v>46.735711435737755</v>
      </c>
      <c r="H20" s="70">
        <f t="shared" si="8"/>
        <v>64.83199311364814</v>
      </c>
      <c r="I20" s="26">
        <f t="shared" si="9"/>
        <v>0</v>
      </c>
      <c r="J20" s="19">
        <f>'[1]А-4'!$G$24</f>
        <v>0</v>
      </c>
      <c r="K20" s="19">
        <f>'[1]А-4'!$H$24</f>
        <v>0</v>
      </c>
      <c r="L20" s="26">
        <f>'[1]А-4'!$R$24</f>
        <v>0</v>
      </c>
      <c r="M20" s="26">
        <f>'[1]А-4'!$AD$24</f>
        <v>0</v>
      </c>
      <c r="N20" s="21"/>
      <c r="O20" s="21"/>
      <c r="P20" s="26">
        <f t="shared" si="1"/>
        <v>0</v>
      </c>
      <c r="Q20" s="26">
        <f t="shared" si="12"/>
        <v>0</v>
      </c>
      <c r="R20" s="22">
        <f t="shared" si="13"/>
        <v>0</v>
      </c>
      <c r="S20" s="22">
        <f t="shared" si="14"/>
        <v>0</v>
      </c>
      <c r="T20" s="16">
        <f t="shared" si="15"/>
        <v>0</v>
      </c>
      <c r="U20" s="24">
        <f t="shared" si="18"/>
        <v>0</v>
      </c>
      <c r="V20" s="9">
        <v>0</v>
      </c>
      <c r="W20" s="24">
        <f t="shared" si="16"/>
        <v>0</v>
      </c>
      <c r="X20" s="48">
        <f t="shared" si="5"/>
        <v>0</v>
      </c>
    </row>
    <row r="21" spans="1:24" s="27" customFormat="1" ht="12.75">
      <c r="A21" s="28">
        <f t="shared" si="17"/>
        <v>13</v>
      </c>
      <c r="B21" s="11" t="s">
        <v>10</v>
      </c>
      <c r="C21" s="7"/>
      <c r="D21" s="19">
        <f>'[1]А-4'!$F$25</f>
        <v>5</v>
      </c>
      <c r="E21" s="95">
        <f>'[1]Норматив и фактически 2017'!$F$26</f>
        <v>201.063</v>
      </c>
      <c r="F21" s="112">
        <f t="shared" si="6"/>
        <v>192.38539776855214</v>
      </c>
      <c r="G21" s="70">
        <f t="shared" si="7"/>
        <v>80.59024312524649</v>
      </c>
      <c r="H21" s="70">
        <f t="shared" si="8"/>
        <v>111.79515464330564</v>
      </c>
      <c r="I21" s="26">
        <f t="shared" si="9"/>
        <v>54.45</v>
      </c>
      <c r="J21" s="19">
        <f>'[1]А-4'!$G$25</f>
        <v>52.85</v>
      </c>
      <c r="K21" s="19">
        <f>'[1]А-4'!$H$25</f>
        <v>1.6</v>
      </c>
      <c r="L21" s="26">
        <f>'[1]А-4'!$R$25</f>
        <v>15</v>
      </c>
      <c r="M21" s="26">
        <f>'[1]А-4'!$AD$25</f>
        <v>0</v>
      </c>
      <c r="N21" s="21">
        <f t="shared" si="10"/>
        <v>2.8382213812677386</v>
      </c>
      <c r="O21" s="21">
        <f t="shared" si="11"/>
        <v>0</v>
      </c>
      <c r="P21" s="26">
        <f t="shared" si="1"/>
        <v>1</v>
      </c>
      <c r="Q21" s="26">
        <f t="shared" si="12"/>
        <v>0</v>
      </c>
      <c r="R21" s="22">
        <f t="shared" si="13"/>
        <v>80</v>
      </c>
      <c r="S21" s="22">
        <f t="shared" si="14"/>
        <v>0</v>
      </c>
      <c r="T21" s="16">
        <f t="shared" si="15"/>
        <v>80</v>
      </c>
      <c r="U21" s="24">
        <f t="shared" si="18"/>
        <v>14</v>
      </c>
      <c r="V21" s="7">
        <v>10</v>
      </c>
      <c r="W21" s="24">
        <f t="shared" si="16"/>
        <v>10</v>
      </c>
      <c r="X21" s="48">
        <f t="shared" si="5"/>
        <v>0.41583197544048234</v>
      </c>
    </row>
    <row r="22" spans="1:24" ht="12.75">
      <c r="A22" s="28">
        <f t="shared" si="17"/>
        <v>14</v>
      </c>
      <c r="B22" s="12" t="s">
        <v>26</v>
      </c>
      <c r="C22" s="34"/>
      <c r="D22" s="19">
        <f>'[1]А-4'!$F$26</f>
        <v>3</v>
      </c>
      <c r="E22" s="95">
        <f>'[1]Норматив и фактически 2017'!$F$27</f>
        <v>67.361</v>
      </c>
      <c r="F22" s="112">
        <f t="shared" si="6"/>
        <v>64.45379199100502</v>
      </c>
      <c r="G22" s="70">
        <f t="shared" si="7"/>
        <v>26.999693465032003</v>
      </c>
      <c r="H22" s="70">
        <f t="shared" si="8"/>
        <v>37.454098525973016</v>
      </c>
      <c r="I22" s="26">
        <f t="shared" si="9"/>
        <v>32.4</v>
      </c>
      <c r="J22" s="19">
        <f>'[1]А-4'!$G$26</f>
        <v>26.199999999999996</v>
      </c>
      <c r="K22" s="19">
        <f>'[1]А-4'!$H$26</f>
        <v>6.2</v>
      </c>
      <c r="L22" s="26">
        <f>'[1]А-4'!$R$26</f>
        <v>0</v>
      </c>
      <c r="M22" s="26">
        <f>'[1]А-4'!$AD$26</f>
        <v>0</v>
      </c>
      <c r="N22" s="21">
        <f t="shared" si="10"/>
        <v>0</v>
      </c>
      <c r="O22" s="21">
        <f t="shared" si="11"/>
        <v>0</v>
      </c>
      <c r="P22" s="26">
        <f t="shared" si="1"/>
        <v>0</v>
      </c>
      <c r="Q22" s="26">
        <f t="shared" si="12"/>
        <v>0</v>
      </c>
      <c r="R22" s="22">
        <f t="shared" si="13"/>
        <v>0</v>
      </c>
      <c r="S22" s="22">
        <f t="shared" si="14"/>
        <v>0</v>
      </c>
      <c r="T22" s="16">
        <f t="shared" si="15"/>
        <v>0</v>
      </c>
      <c r="U22" s="24">
        <f t="shared" si="18"/>
        <v>0</v>
      </c>
      <c r="V22" s="9">
        <v>5</v>
      </c>
      <c r="W22" s="24">
        <f t="shared" si="16"/>
        <v>0</v>
      </c>
      <c r="X22" s="48">
        <f t="shared" si="5"/>
        <v>0</v>
      </c>
    </row>
    <row r="23" spans="1:24" ht="12.75">
      <c r="A23" s="28">
        <f t="shared" si="17"/>
        <v>15</v>
      </c>
      <c r="B23" s="197" t="s">
        <v>55</v>
      </c>
      <c r="C23" s="198"/>
      <c r="D23" s="18">
        <f>'[1]А-4'!$F$27</f>
        <v>3</v>
      </c>
      <c r="E23" s="95">
        <f>'[1]Норматив и фактически 2017'!$F$28</f>
        <v>53.867</v>
      </c>
      <c r="F23" s="112">
        <f t="shared" si="6"/>
        <v>51.54217445078706</v>
      </c>
      <c r="G23" s="70">
        <f t="shared" si="7"/>
        <v>21.591016877434697</v>
      </c>
      <c r="H23" s="70">
        <f t="shared" si="8"/>
        <v>29.951157573352358</v>
      </c>
      <c r="I23" s="26">
        <f t="shared" si="9"/>
        <v>36.21000000000001</v>
      </c>
      <c r="J23" s="19">
        <f>'[1]А-4'!$G$27</f>
        <v>18.830000000000002</v>
      </c>
      <c r="K23" s="19">
        <f>'[1]А-4'!$H$27</f>
        <v>17.380000000000003</v>
      </c>
      <c r="L23" s="26">
        <f>'[1]А-4'!$R$27</f>
        <v>19</v>
      </c>
      <c r="M23" s="26">
        <f>'[1]А-4'!$AD$27</f>
        <v>0</v>
      </c>
      <c r="N23" s="21">
        <f t="shared" si="10"/>
        <v>10.090281465746148</v>
      </c>
      <c r="O23" s="21">
        <f t="shared" si="11"/>
        <v>0</v>
      </c>
      <c r="P23" s="26">
        <f t="shared" si="1"/>
        <v>3.5</v>
      </c>
      <c r="Q23" s="26">
        <f t="shared" si="12"/>
        <v>0</v>
      </c>
      <c r="R23" s="22">
        <f t="shared" si="13"/>
        <v>75</v>
      </c>
      <c r="S23" s="22">
        <f t="shared" si="14"/>
        <v>0</v>
      </c>
      <c r="T23" s="16">
        <f t="shared" si="15"/>
        <v>75</v>
      </c>
      <c r="U23" s="24">
        <f t="shared" si="18"/>
        <v>13</v>
      </c>
      <c r="V23" s="9">
        <v>4</v>
      </c>
      <c r="W23" s="24">
        <f t="shared" si="16"/>
        <v>4</v>
      </c>
      <c r="X23" s="48">
        <f t="shared" si="5"/>
        <v>1.4551190515179115</v>
      </c>
    </row>
    <row r="24" spans="1:24" ht="12.75">
      <c r="A24" s="28">
        <f t="shared" si="17"/>
        <v>16</v>
      </c>
      <c r="B24" s="211" t="s">
        <v>56</v>
      </c>
      <c r="C24" s="212"/>
      <c r="D24" s="18">
        <f>'[1]А-4'!$F$29</f>
        <v>2</v>
      </c>
      <c r="E24" s="95">
        <f>'[1]Норматив и фактически 2017'!$F$29</f>
        <v>100.78</v>
      </c>
      <c r="F24" s="112">
        <f t="shared" si="6"/>
        <v>96.4304739664418</v>
      </c>
      <c r="G24" s="70">
        <f t="shared" si="7"/>
        <v>40.39472554454247</v>
      </c>
      <c r="H24" s="70">
        <f t="shared" si="8"/>
        <v>56.03574842189932</v>
      </c>
      <c r="I24" s="26">
        <f t="shared" si="9"/>
        <v>21.09</v>
      </c>
      <c r="J24" s="19">
        <f>'[1]А-4'!$G$29</f>
        <v>7.79</v>
      </c>
      <c r="K24" s="19">
        <f>'[1]А-4'!$H$29</f>
        <v>13.3</v>
      </c>
      <c r="L24" s="26">
        <f>'[1]А-4'!$R$29</f>
        <v>0</v>
      </c>
      <c r="M24" s="26">
        <f>'[1]А-4'!$AD$29</f>
        <v>0</v>
      </c>
      <c r="N24" s="21">
        <f t="shared" si="10"/>
        <v>0</v>
      </c>
      <c r="O24" s="21">
        <f t="shared" si="11"/>
        <v>0</v>
      </c>
      <c r="P24" s="26">
        <f t="shared" si="1"/>
        <v>0</v>
      </c>
      <c r="Q24" s="26">
        <f t="shared" si="12"/>
        <v>0</v>
      </c>
      <c r="R24" s="22">
        <f t="shared" si="13"/>
        <v>0</v>
      </c>
      <c r="S24" s="22">
        <f t="shared" si="14"/>
        <v>0</v>
      </c>
      <c r="T24" s="16">
        <f t="shared" si="15"/>
        <v>0</v>
      </c>
      <c r="U24" s="24">
        <f t="shared" si="18"/>
        <v>0</v>
      </c>
      <c r="V24" s="9">
        <v>4</v>
      </c>
      <c r="W24" s="24">
        <f t="shared" si="16"/>
        <v>0</v>
      </c>
      <c r="X24" s="48">
        <f t="shared" si="5"/>
        <v>0</v>
      </c>
    </row>
    <row r="25" spans="1:24" ht="12.75">
      <c r="A25" s="28">
        <f t="shared" si="17"/>
        <v>17</v>
      </c>
      <c r="B25" s="47" t="s">
        <v>59</v>
      </c>
      <c r="C25" s="47"/>
      <c r="D25" s="18">
        <f>'[1]А-4'!$F$28</f>
        <v>0</v>
      </c>
      <c r="E25" s="95">
        <f>'[1]Норматив и фактически 2017'!$F$30</f>
        <v>34.42</v>
      </c>
      <c r="F25" s="112">
        <f t="shared" si="6"/>
        <v>32.93448019373811</v>
      </c>
      <c r="G25" s="70">
        <f t="shared" si="7"/>
        <v>13.796253753156895</v>
      </c>
      <c r="H25" s="70">
        <f t="shared" si="8"/>
        <v>19.138226440581214</v>
      </c>
      <c r="I25" s="26">
        <f t="shared" si="9"/>
        <v>0</v>
      </c>
      <c r="J25" s="19">
        <f>'[1]А-4'!$G$28</f>
        <v>0</v>
      </c>
      <c r="K25" s="19">
        <f>'[1]А-4'!$H$28</f>
        <v>0</v>
      </c>
      <c r="L25" s="26">
        <f>'[1]А-4'!$R$28</f>
        <v>0</v>
      </c>
      <c r="M25" s="26">
        <f>'[1]А-4'!$AD$28</f>
        <v>0</v>
      </c>
      <c r="N25" s="21"/>
      <c r="O25" s="21"/>
      <c r="P25" s="26">
        <f t="shared" si="1"/>
        <v>0</v>
      </c>
      <c r="Q25" s="26">
        <f t="shared" si="12"/>
        <v>0</v>
      </c>
      <c r="R25" s="22">
        <f t="shared" si="13"/>
        <v>0</v>
      </c>
      <c r="S25" s="22">
        <f t="shared" si="14"/>
        <v>0</v>
      </c>
      <c r="T25" s="16">
        <f t="shared" si="15"/>
        <v>0</v>
      </c>
      <c r="U25" s="24">
        <f t="shared" si="18"/>
        <v>0</v>
      </c>
      <c r="V25" s="9"/>
      <c r="W25" s="24">
        <f t="shared" si="16"/>
        <v>0</v>
      </c>
      <c r="X25" s="48">
        <f t="shared" si="5"/>
        <v>0</v>
      </c>
    </row>
    <row r="26" spans="1:24" ht="12.75">
      <c r="A26" s="28">
        <f t="shared" si="17"/>
        <v>18</v>
      </c>
      <c r="B26" s="33" t="s">
        <v>11</v>
      </c>
      <c r="C26" s="34"/>
      <c r="D26" s="19">
        <f>'[1]А-4'!$F$34</f>
        <v>0</v>
      </c>
      <c r="E26" s="95">
        <f>'[1]Норматив и фактически 2017'!$F$31</f>
        <v>161.327</v>
      </c>
      <c r="F26" s="112">
        <f t="shared" si="6"/>
        <v>154.3643488150839</v>
      </c>
      <c r="G26" s="70">
        <f t="shared" si="7"/>
        <v>64.66322571863864</v>
      </c>
      <c r="H26" s="70">
        <f t="shared" si="8"/>
        <v>89.70112309644524</v>
      </c>
      <c r="I26" s="26">
        <f t="shared" si="9"/>
        <v>0</v>
      </c>
      <c r="J26" s="19">
        <f>'[1]А-4'!$G$34</f>
        <v>0</v>
      </c>
      <c r="K26" s="19">
        <f>'[1]А-4'!$H$34</f>
        <v>0</v>
      </c>
      <c r="L26" s="26">
        <f>'[1]А-4'!$R$34</f>
        <v>0</v>
      </c>
      <c r="M26" s="26">
        <f>'[1]А-4'!$AD$34</f>
        <v>0</v>
      </c>
      <c r="N26" s="21"/>
      <c r="O26" s="21"/>
      <c r="P26" s="26">
        <f t="shared" si="1"/>
        <v>0</v>
      </c>
      <c r="Q26" s="26">
        <f t="shared" si="12"/>
        <v>0</v>
      </c>
      <c r="R26" s="22">
        <f t="shared" si="13"/>
        <v>0</v>
      </c>
      <c r="S26" s="22">
        <f t="shared" si="14"/>
        <v>0</v>
      </c>
      <c r="T26" s="16">
        <f t="shared" si="15"/>
        <v>0</v>
      </c>
      <c r="U26" s="24">
        <f t="shared" si="18"/>
        <v>0</v>
      </c>
      <c r="V26" s="9">
        <v>0</v>
      </c>
      <c r="W26" s="24">
        <f t="shared" si="16"/>
        <v>0</v>
      </c>
      <c r="X26" s="48">
        <f t="shared" si="5"/>
        <v>0</v>
      </c>
    </row>
    <row r="27" spans="1:24" ht="12.75">
      <c r="A27" s="28">
        <f t="shared" si="17"/>
        <v>19</v>
      </c>
      <c r="B27" s="33" t="s">
        <v>12</v>
      </c>
      <c r="C27" s="34"/>
      <c r="D27" s="18">
        <f>'[1]А-4'!$F$35</f>
        <v>0</v>
      </c>
      <c r="E27" s="95">
        <f>'[1]Норматив и фактически 2017'!$F$32</f>
        <v>681</v>
      </c>
      <c r="F27" s="112">
        <f t="shared" si="6"/>
        <v>651.6089776855215</v>
      </c>
      <c r="G27" s="70">
        <f t="shared" si="7"/>
        <v>272.95900075246493</v>
      </c>
      <c r="H27" s="70">
        <f t="shared" si="8"/>
        <v>378.6499769330565</v>
      </c>
      <c r="I27" s="26">
        <f t="shared" si="9"/>
        <v>0</v>
      </c>
      <c r="J27" s="19">
        <f>'[1]А-4'!$G$35</f>
        <v>0</v>
      </c>
      <c r="K27" s="19">
        <f>'[1]А-4'!$H$35</f>
        <v>0</v>
      </c>
      <c r="L27" s="26">
        <f>'[1]А-4'!$R$35</f>
        <v>0</v>
      </c>
      <c r="M27" s="104">
        <f>'[1]А-4'!$AD$35</f>
        <v>0</v>
      </c>
      <c r="N27" s="21"/>
      <c r="O27" s="21"/>
      <c r="P27" s="26">
        <f t="shared" si="1"/>
        <v>0</v>
      </c>
      <c r="Q27" s="26">
        <f t="shared" si="12"/>
        <v>0</v>
      </c>
      <c r="R27" s="22">
        <f t="shared" si="13"/>
        <v>0</v>
      </c>
      <c r="S27" s="22">
        <f t="shared" si="14"/>
        <v>0</v>
      </c>
      <c r="T27" s="16">
        <f t="shared" si="15"/>
        <v>0</v>
      </c>
      <c r="U27" s="24">
        <f t="shared" si="18"/>
        <v>0</v>
      </c>
      <c r="V27" s="9">
        <v>0</v>
      </c>
      <c r="W27" s="24">
        <f t="shared" si="16"/>
        <v>0</v>
      </c>
      <c r="X27" s="48">
        <f t="shared" si="5"/>
        <v>0</v>
      </c>
    </row>
    <row r="28" spans="1:24" ht="12.75">
      <c r="A28" s="28">
        <f t="shared" si="17"/>
        <v>20</v>
      </c>
      <c r="B28" s="179" t="s">
        <v>14</v>
      </c>
      <c r="C28" s="180"/>
      <c r="D28" s="125">
        <f>'[1]А-4'!$F$49</f>
        <v>3</v>
      </c>
      <c r="E28" s="134">
        <f>'[1]Норматив и фактически 2017'!$F$33</f>
        <v>41.655</v>
      </c>
      <c r="F28" s="127">
        <f t="shared" si="6"/>
        <v>39.857227555786196</v>
      </c>
      <c r="G28" s="128">
        <f t="shared" si="7"/>
        <v>16.696192623118836</v>
      </c>
      <c r="H28" s="128">
        <f t="shared" si="8"/>
        <v>23.161034932667356</v>
      </c>
      <c r="I28" s="129">
        <f t="shared" si="9"/>
        <v>33.2</v>
      </c>
      <c r="J28" s="125">
        <f>'[1]А-4'!$G$49</f>
        <v>0</v>
      </c>
      <c r="K28" s="125">
        <f>'[1]А-4'!$H$49</f>
        <v>33.2</v>
      </c>
      <c r="L28" s="129">
        <f>'[1]А-4'!$R$49</f>
        <v>0</v>
      </c>
      <c r="M28" s="129">
        <f>'[1]А-4'!$AD$49</f>
        <v>0</v>
      </c>
      <c r="N28" s="130"/>
      <c r="O28" s="130">
        <f t="shared" si="11"/>
        <v>0</v>
      </c>
      <c r="P28" s="129">
        <f t="shared" si="1"/>
        <v>0</v>
      </c>
      <c r="Q28" s="129">
        <f t="shared" si="12"/>
        <v>0</v>
      </c>
      <c r="R28" s="131">
        <f t="shared" si="13"/>
        <v>0</v>
      </c>
      <c r="S28" s="131">
        <f t="shared" si="14"/>
        <v>0</v>
      </c>
      <c r="T28" s="131">
        <f t="shared" si="15"/>
        <v>0</v>
      </c>
      <c r="U28" s="132">
        <f t="shared" si="18"/>
        <v>0</v>
      </c>
      <c r="V28" s="133"/>
      <c r="W28" s="132">
        <f t="shared" si="16"/>
        <v>0</v>
      </c>
      <c r="X28" s="48">
        <f t="shared" si="5"/>
        <v>0</v>
      </c>
    </row>
    <row r="29" spans="1:24" ht="12.75">
      <c r="A29" s="28">
        <f t="shared" si="17"/>
        <v>21</v>
      </c>
      <c r="B29" s="33" t="s">
        <v>61</v>
      </c>
      <c r="C29" s="34"/>
      <c r="D29" s="19">
        <f>'[1]А-4'!$F$44</f>
        <v>3</v>
      </c>
      <c r="E29" s="95">
        <f>'[1]Норматив и фактически 2017'!$F$34</f>
        <v>237.32</v>
      </c>
      <c r="F29" s="112">
        <f t="shared" si="6"/>
        <v>227.07759557170039</v>
      </c>
      <c r="G29" s="70">
        <f t="shared" si="7"/>
        <v>95.12280478498529</v>
      </c>
      <c r="H29" s="70">
        <f t="shared" si="8"/>
        <v>131.95479078671508</v>
      </c>
      <c r="I29" s="26">
        <f t="shared" si="9"/>
        <v>33.5</v>
      </c>
      <c r="J29" s="19">
        <f>'[1]А-4'!$G$44</f>
        <v>19.599999999999998</v>
      </c>
      <c r="K29" s="19">
        <f>'[1]А-4'!$H$44</f>
        <v>13.899999999999999</v>
      </c>
      <c r="L29" s="26">
        <f>'[1]А-4'!$R$44</f>
        <v>0</v>
      </c>
      <c r="M29" s="26">
        <f>'[1]А-4'!$AD$44</f>
        <v>7</v>
      </c>
      <c r="N29" s="21">
        <f t="shared" si="10"/>
        <v>0</v>
      </c>
      <c r="O29" s="21">
        <f t="shared" si="11"/>
        <v>5.035971223021583</v>
      </c>
      <c r="P29" s="26">
        <f t="shared" si="1"/>
        <v>0</v>
      </c>
      <c r="Q29" s="26">
        <f t="shared" si="12"/>
        <v>1.8</v>
      </c>
      <c r="R29" s="22">
        <f t="shared" si="13"/>
        <v>0</v>
      </c>
      <c r="S29" s="22">
        <f t="shared" si="14"/>
        <v>237</v>
      </c>
      <c r="T29" s="16">
        <f t="shared" si="15"/>
        <v>237</v>
      </c>
      <c r="U29" s="24">
        <f t="shared" si="18"/>
        <v>42</v>
      </c>
      <c r="V29" s="7"/>
      <c r="W29" s="24">
        <v>42</v>
      </c>
      <c r="X29" s="48">
        <f t="shared" si="5"/>
        <v>1.0436960960561457</v>
      </c>
    </row>
    <row r="30" spans="1:24" ht="12.75">
      <c r="A30" s="28">
        <f t="shared" si="17"/>
        <v>22</v>
      </c>
      <c r="B30" s="33" t="s">
        <v>124</v>
      </c>
      <c r="C30" s="34"/>
      <c r="D30" s="18">
        <f>'[1]А-4'!$F$46</f>
        <v>0</v>
      </c>
      <c r="E30" s="95">
        <f>'[1]Норматив и фактически 2017'!$F$35</f>
        <v>124.78</v>
      </c>
      <c r="F30" s="112">
        <f t="shared" si="6"/>
        <v>119.39466701262756</v>
      </c>
      <c r="G30" s="70">
        <f t="shared" si="7"/>
        <v>50.014426011589684</v>
      </c>
      <c r="H30" s="70">
        <f t="shared" si="8"/>
        <v>69.38024100103787</v>
      </c>
      <c r="I30" s="26">
        <f t="shared" si="9"/>
        <v>0</v>
      </c>
      <c r="J30" s="19">
        <f>'[1]А-4'!$G$46</f>
        <v>0</v>
      </c>
      <c r="K30" s="19">
        <f>'[1]А-4'!$H$46</f>
        <v>0</v>
      </c>
      <c r="L30" s="26">
        <f>'[1]А-4'!$R$46</f>
        <v>0</v>
      </c>
      <c r="M30" s="26">
        <f>'[1]А-4'!$AD$46</f>
        <v>0</v>
      </c>
      <c r="N30" s="21"/>
      <c r="O30" s="21"/>
      <c r="P30" s="26">
        <f t="shared" si="1"/>
        <v>0</v>
      </c>
      <c r="Q30" s="26">
        <f t="shared" si="12"/>
        <v>0</v>
      </c>
      <c r="R30" s="22">
        <f t="shared" si="13"/>
        <v>0</v>
      </c>
      <c r="S30" s="22">
        <f t="shared" si="14"/>
        <v>0</v>
      </c>
      <c r="T30" s="16">
        <f t="shared" si="15"/>
        <v>0</v>
      </c>
      <c r="U30" s="24">
        <f t="shared" si="18"/>
        <v>0</v>
      </c>
      <c r="V30" s="9">
        <v>0</v>
      </c>
      <c r="W30" s="24">
        <f t="shared" si="16"/>
        <v>0</v>
      </c>
      <c r="X30" s="48">
        <f t="shared" si="5"/>
        <v>0</v>
      </c>
    </row>
    <row r="31" spans="1:24" ht="12.75">
      <c r="A31" s="28">
        <f t="shared" si="17"/>
        <v>23</v>
      </c>
      <c r="B31" s="80" t="s">
        <v>25</v>
      </c>
      <c r="C31" s="82"/>
      <c r="D31" s="18">
        <f>'[1]А-4'!$F$30</f>
        <v>0</v>
      </c>
      <c r="E31" s="95">
        <f>'[1]Норматив и фактически 2017'!$F$36</f>
        <v>25.6365</v>
      </c>
      <c r="F31" s="112">
        <f t="shared" si="6"/>
        <v>24.530063959522575</v>
      </c>
      <c r="G31" s="70">
        <f t="shared" si="7"/>
        <v>10.275643792644006</v>
      </c>
      <c r="H31" s="70">
        <f t="shared" si="8"/>
        <v>14.254420166878567</v>
      </c>
      <c r="I31" s="26">
        <f t="shared" si="9"/>
        <v>0</v>
      </c>
      <c r="J31" s="19">
        <f>'[1]А-4'!$G$30</f>
        <v>0</v>
      </c>
      <c r="K31" s="19">
        <f>'[1]А-4'!$H$30</f>
        <v>0</v>
      </c>
      <c r="L31" s="26">
        <f>'[1]А-4'!$R$30</f>
        <v>0</v>
      </c>
      <c r="M31" s="26">
        <f>'[1]А-4'!$AD$30</f>
        <v>0</v>
      </c>
      <c r="N31" s="21"/>
      <c r="O31" s="21"/>
      <c r="P31" s="26">
        <f t="shared" si="1"/>
        <v>0</v>
      </c>
      <c r="Q31" s="26">
        <f t="shared" si="12"/>
        <v>0</v>
      </c>
      <c r="R31" s="22">
        <f t="shared" si="13"/>
        <v>0</v>
      </c>
      <c r="S31" s="22">
        <f t="shared" si="14"/>
        <v>0</v>
      </c>
      <c r="T31" s="16">
        <f t="shared" si="15"/>
        <v>0</v>
      </c>
      <c r="U31" s="24">
        <f t="shared" si="18"/>
        <v>0</v>
      </c>
      <c r="V31" s="9">
        <v>0</v>
      </c>
      <c r="W31" s="24">
        <f t="shared" si="16"/>
        <v>0</v>
      </c>
      <c r="X31" s="48">
        <f t="shared" si="5"/>
        <v>0</v>
      </c>
    </row>
    <row r="32" spans="1:24" s="27" customFormat="1" ht="14.25" customHeight="1">
      <c r="A32" s="28">
        <f t="shared" si="17"/>
        <v>24</v>
      </c>
      <c r="B32" s="33" t="s">
        <v>13</v>
      </c>
      <c r="C32" s="34"/>
      <c r="D32" s="19">
        <f>'[1]А-4'!$F$38</f>
        <v>4</v>
      </c>
      <c r="E32" s="95">
        <f>'[1]Норматив и фактически 2017'!$F$37</f>
        <v>240.043</v>
      </c>
      <c r="F32" s="112">
        <f t="shared" si="6"/>
        <v>229.68307464106556</v>
      </c>
      <c r="G32" s="70">
        <f t="shared" si="7"/>
        <v>96.21423996714236</v>
      </c>
      <c r="H32" s="70">
        <f t="shared" si="8"/>
        <v>133.4688346739232</v>
      </c>
      <c r="I32" s="26">
        <f t="shared" si="9"/>
        <v>39.3</v>
      </c>
      <c r="J32" s="19">
        <f>'[1]А-4'!$G$38</f>
        <v>29.3</v>
      </c>
      <c r="K32" s="19">
        <f>'[1]А-4'!$H$38</f>
        <v>10</v>
      </c>
      <c r="L32" s="26">
        <f>'[1]А-4'!$R$38</f>
        <v>7</v>
      </c>
      <c r="M32" s="26">
        <f>'[1]А-4'!$AD$38</f>
        <v>0</v>
      </c>
      <c r="N32" s="21">
        <f t="shared" si="10"/>
        <v>2.3890784982935154</v>
      </c>
      <c r="O32" s="21">
        <f t="shared" si="11"/>
        <v>0</v>
      </c>
      <c r="P32" s="26">
        <f t="shared" si="1"/>
        <v>0.8</v>
      </c>
      <c r="Q32" s="26">
        <f t="shared" si="12"/>
        <v>0</v>
      </c>
      <c r="R32" s="22">
        <f t="shared" si="13"/>
        <v>76</v>
      </c>
      <c r="S32" s="22">
        <f t="shared" si="14"/>
        <v>0</v>
      </c>
      <c r="T32" s="16">
        <f t="shared" si="15"/>
        <v>76</v>
      </c>
      <c r="U32" s="24">
        <f t="shared" si="18"/>
        <v>13</v>
      </c>
      <c r="V32" s="7">
        <v>3</v>
      </c>
      <c r="W32" s="24">
        <f t="shared" si="16"/>
        <v>3</v>
      </c>
      <c r="X32" s="48">
        <f t="shared" si="5"/>
        <v>0.3308907289697688</v>
      </c>
    </row>
    <row r="33" spans="1:24" ht="12.75" customHeight="1">
      <c r="A33" s="28">
        <f t="shared" si="17"/>
        <v>25</v>
      </c>
      <c r="B33" s="123" t="s">
        <v>15</v>
      </c>
      <c r="C33" s="124"/>
      <c r="D33" s="125">
        <f>'[1]А-4'!$F$50</f>
        <v>3</v>
      </c>
      <c r="E33" s="126">
        <f>'[1]Норматив и фактически 2017'!$F$38</f>
        <v>72.263</v>
      </c>
      <c r="F33" s="127">
        <f t="shared" si="6"/>
        <v>69.14422842068846</v>
      </c>
      <c r="G33" s="128">
        <f t="shared" si="7"/>
        <v>28.964517285426396</v>
      </c>
      <c r="H33" s="128">
        <f t="shared" si="8"/>
        <v>40.17971113526206</v>
      </c>
      <c r="I33" s="129">
        <f t="shared" si="9"/>
        <v>36.040000000000006</v>
      </c>
      <c r="J33" s="125">
        <f>'[1]А-4'!$G$50</f>
        <v>25.900000000000002</v>
      </c>
      <c r="K33" s="125">
        <f>'[1]А-4'!$H$50</f>
        <v>10.14</v>
      </c>
      <c r="L33" s="129">
        <f>'[1]А-4'!$R$50</f>
        <v>0</v>
      </c>
      <c r="M33" s="129">
        <f>'[1]А-4'!$AD$50</f>
        <v>0</v>
      </c>
      <c r="N33" s="130">
        <f t="shared" si="10"/>
        <v>0</v>
      </c>
      <c r="O33" s="130">
        <f t="shared" si="11"/>
        <v>0</v>
      </c>
      <c r="P33" s="129">
        <f t="shared" si="1"/>
        <v>0</v>
      </c>
      <c r="Q33" s="129">
        <f t="shared" si="12"/>
        <v>0</v>
      </c>
      <c r="R33" s="131">
        <f t="shared" si="13"/>
        <v>0</v>
      </c>
      <c r="S33" s="131">
        <f t="shared" si="14"/>
        <v>0</v>
      </c>
      <c r="T33" s="131">
        <f t="shared" si="15"/>
        <v>0</v>
      </c>
      <c r="U33" s="132">
        <f t="shared" si="18"/>
        <v>0</v>
      </c>
      <c r="V33" s="133"/>
      <c r="W33" s="132">
        <f t="shared" si="16"/>
        <v>0</v>
      </c>
      <c r="X33" s="48">
        <f t="shared" si="5"/>
        <v>0</v>
      </c>
    </row>
    <row r="34" spans="1:24" ht="12.75">
      <c r="A34" s="28">
        <f t="shared" si="17"/>
        <v>26</v>
      </c>
      <c r="B34" s="36" t="s">
        <v>27</v>
      </c>
      <c r="C34" s="37"/>
      <c r="D34" s="19">
        <f>'[1]А-4'!$F$42</f>
        <v>3</v>
      </c>
      <c r="E34" s="95">
        <f>'[1]Норматив и фактически 2017'!$F$39</f>
        <v>48</v>
      </c>
      <c r="F34" s="112">
        <f t="shared" si="6"/>
        <v>45.92838609237156</v>
      </c>
      <c r="G34" s="70">
        <f t="shared" si="7"/>
        <v>19.239400934094448</v>
      </c>
      <c r="H34" s="70">
        <f t="shared" si="8"/>
        <v>26.688985158277113</v>
      </c>
      <c r="I34" s="26">
        <f t="shared" si="9"/>
        <v>30.3</v>
      </c>
      <c r="J34" s="19">
        <f>'[1]А-4'!$G$42</f>
        <v>26.7</v>
      </c>
      <c r="K34" s="19">
        <f>'[1]А-4'!$H$42</f>
        <v>3.6</v>
      </c>
      <c r="L34" s="26">
        <f>'[1]А-4'!$R$42</f>
        <v>18</v>
      </c>
      <c r="M34" s="26">
        <f>'[1]А-4'!$AD$42</f>
        <v>0</v>
      </c>
      <c r="N34" s="21">
        <f t="shared" si="10"/>
        <v>6.741573033707866</v>
      </c>
      <c r="O34" s="21">
        <f t="shared" si="11"/>
        <v>0</v>
      </c>
      <c r="P34" s="26">
        <f t="shared" si="1"/>
        <v>2.4</v>
      </c>
      <c r="Q34" s="26">
        <f t="shared" si="12"/>
        <v>0</v>
      </c>
      <c r="R34" s="22">
        <f t="shared" si="13"/>
        <v>46</v>
      </c>
      <c r="S34" s="22">
        <f t="shared" si="14"/>
        <v>0</v>
      </c>
      <c r="T34" s="16">
        <f t="shared" si="15"/>
        <v>46</v>
      </c>
      <c r="U34" s="24">
        <f t="shared" si="18"/>
        <v>8</v>
      </c>
      <c r="V34" s="7">
        <v>7</v>
      </c>
      <c r="W34" s="24">
        <f t="shared" si="16"/>
        <v>7</v>
      </c>
      <c r="X34" s="48">
        <f t="shared" si="5"/>
        <v>1.0015592515592515</v>
      </c>
    </row>
    <row r="35" spans="1:24" s="27" customFormat="1" ht="12.75">
      <c r="A35" s="28">
        <f t="shared" si="17"/>
        <v>27</v>
      </c>
      <c r="B35" s="42" t="s">
        <v>125</v>
      </c>
      <c r="C35" s="43"/>
      <c r="D35" s="19">
        <f>'[1]А-4'!$F$43</f>
        <v>4</v>
      </c>
      <c r="E35" s="95">
        <f>'[1]Норматив и фактически 2017'!$F$40</f>
        <v>149.4</v>
      </c>
      <c r="F35" s="112">
        <f t="shared" si="6"/>
        <v>142.95210171250648</v>
      </c>
      <c r="G35" s="70">
        <f t="shared" si="7"/>
        <v>59.88263540736896</v>
      </c>
      <c r="H35" s="70">
        <f t="shared" si="8"/>
        <v>83.06946630513751</v>
      </c>
      <c r="I35" s="26">
        <f t="shared" si="9"/>
        <v>41.120000000000005</v>
      </c>
      <c r="J35" s="19">
        <f>'[1]А-4'!$G$43</f>
        <v>32.5</v>
      </c>
      <c r="K35" s="19">
        <f>'[1]А-4'!$H$43</f>
        <v>8.620000000000001</v>
      </c>
      <c r="L35" s="26">
        <f>'[1]А-4'!$R$43</f>
        <v>0</v>
      </c>
      <c r="M35" s="26">
        <f>'[1]А-4'!$AD$43</f>
        <v>0</v>
      </c>
      <c r="N35" s="21">
        <f t="shared" si="10"/>
        <v>0</v>
      </c>
      <c r="O35" s="21">
        <f t="shared" si="11"/>
        <v>0</v>
      </c>
      <c r="P35" s="26">
        <f t="shared" si="1"/>
        <v>0</v>
      </c>
      <c r="Q35" s="26">
        <f t="shared" si="12"/>
        <v>0</v>
      </c>
      <c r="R35" s="22">
        <f t="shared" si="13"/>
        <v>0</v>
      </c>
      <c r="S35" s="22">
        <f t="shared" si="14"/>
        <v>0</v>
      </c>
      <c r="T35" s="16">
        <f t="shared" si="15"/>
        <v>0</v>
      </c>
      <c r="U35" s="24">
        <f t="shared" si="18"/>
        <v>0</v>
      </c>
      <c r="V35" s="9"/>
      <c r="W35" s="24">
        <f t="shared" si="16"/>
        <v>0</v>
      </c>
      <c r="X35" s="48">
        <f t="shared" si="5"/>
        <v>0</v>
      </c>
    </row>
    <row r="36" spans="1:24" ht="17.25" customHeight="1">
      <c r="A36" s="28">
        <f t="shared" si="17"/>
        <v>28</v>
      </c>
      <c r="B36" s="42" t="s">
        <v>60</v>
      </c>
      <c r="C36" s="43"/>
      <c r="D36" s="19">
        <f>'[1]А-4'!$F$37</f>
        <v>1</v>
      </c>
      <c r="E36" s="95">
        <f>'[1]Норматив и фактически 2017'!$F$41</f>
        <v>55.213</v>
      </c>
      <c r="F36" s="112">
        <f t="shared" si="6"/>
        <v>52.83008294412731</v>
      </c>
      <c r="G36" s="70">
        <f t="shared" si="7"/>
        <v>22.13052174529493</v>
      </c>
      <c r="H36" s="70">
        <f t="shared" si="8"/>
        <v>30.699561198832377</v>
      </c>
      <c r="I36" s="26">
        <f t="shared" si="9"/>
        <v>14</v>
      </c>
      <c r="J36" s="19">
        <f>'[1]А-4'!$G$37</f>
        <v>8</v>
      </c>
      <c r="K36" s="19">
        <f>'[1]А-4'!$H$37</f>
        <v>6</v>
      </c>
      <c r="L36" s="26">
        <f>'[1]А-4'!$R$37</f>
        <v>6</v>
      </c>
      <c r="M36" s="26">
        <f>'[1]А-4'!$AD$37</f>
        <v>0</v>
      </c>
      <c r="N36" s="21">
        <f t="shared" si="10"/>
        <v>7.5</v>
      </c>
      <c r="O36" s="21">
        <f t="shared" si="11"/>
        <v>0</v>
      </c>
      <c r="P36" s="26">
        <f t="shared" si="1"/>
        <v>2.6</v>
      </c>
      <c r="Q36" s="26">
        <f t="shared" si="12"/>
        <v>0</v>
      </c>
      <c r="R36" s="22">
        <f t="shared" si="13"/>
        <v>57</v>
      </c>
      <c r="S36" s="22">
        <f t="shared" si="14"/>
        <v>0</v>
      </c>
      <c r="T36" s="16">
        <f t="shared" si="15"/>
        <v>57</v>
      </c>
      <c r="U36" s="24">
        <f t="shared" si="18"/>
        <v>10</v>
      </c>
      <c r="V36" s="9">
        <v>0</v>
      </c>
      <c r="W36" s="24">
        <f t="shared" si="16"/>
        <v>0</v>
      </c>
      <c r="X36" s="48">
        <f t="shared" si="5"/>
        <v>1.078930730816432</v>
      </c>
    </row>
    <row r="37" spans="1:24" ht="17.25" customHeight="1">
      <c r="A37" s="28">
        <f t="shared" si="17"/>
        <v>29</v>
      </c>
      <c r="B37" s="33" t="s">
        <v>95</v>
      </c>
      <c r="C37" s="34"/>
      <c r="D37" s="19">
        <f>'[1]А-4'!$F$40</f>
        <v>0</v>
      </c>
      <c r="E37" s="95">
        <f>'[1]Норматив и фактически 2017'!$F$42</f>
        <v>117.698</v>
      </c>
      <c r="F37" s="112">
        <f t="shared" si="6"/>
        <v>112.6183163812489</v>
      </c>
      <c r="G37" s="70">
        <f t="shared" si="7"/>
        <v>47.175812732105165</v>
      </c>
      <c r="H37" s="70">
        <f t="shared" si="8"/>
        <v>65.44250364914373</v>
      </c>
      <c r="I37" s="26">
        <f t="shared" si="9"/>
        <v>0</v>
      </c>
      <c r="J37" s="19">
        <f>'[1]А-4'!$G$40</f>
        <v>0</v>
      </c>
      <c r="K37" s="19">
        <f>'[1]А-4'!$H$40</f>
        <v>0</v>
      </c>
      <c r="L37" s="26">
        <f>'[1]А-4'!$R$40</f>
        <v>0</v>
      </c>
      <c r="M37" s="26">
        <f>'[1]А-4'!$AD$40</f>
        <v>0</v>
      </c>
      <c r="N37" s="21"/>
      <c r="O37" s="21"/>
      <c r="P37" s="26">
        <f t="shared" si="1"/>
        <v>0</v>
      </c>
      <c r="Q37" s="26">
        <f t="shared" si="12"/>
        <v>0</v>
      </c>
      <c r="R37" s="22">
        <f t="shared" si="13"/>
        <v>0</v>
      </c>
      <c r="S37" s="22">
        <f t="shared" si="14"/>
        <v>0</v>
      </c>
      <c r="T37" s="16">
        <f t="shared" si="15"/>
        <v>0</v>
      </c>
      <c r="U37" s="24">
        <f t="shared" si="18"/>
        <v>0</v>
      </c>
      <c r="V37" s="9">
        <v>4</v>
      </c>
      <c r="W37" s="24">
        <f t="shared" si="16"/>
        <v>0</v>
      </c>
      <c r="X37" s="48">
        <f t="shared" si="5"/>
        <v>0</v>
      </c>
    </row>
    <row r="38" spans="1:24" ht="12.75">
      <c r="A38" s="28">
        <f t="shared" si="17"/>
        <v>30</v>
      </c>
      <c r="B38" s="38" t="s">
        <v>94</v>
      </c>
      <c r="C38" s="34"/>
      <c r="D38" s="19">
        <f>'[1]А-4'!$F$39</f>
        <v>0</v>
      </c>
      <c r="E38" s="95">
        <f>'[1]Норматив и фактически 2017'!$F$43</f>
        <v>282.278</v>
      </c>
      <c r="F38" s="112">
        <f t="shared" si="6"/>
        <v>270.09527019546795</v>
      </c>
      <c r="G38" s="70">
        <f t="shared" si="7"/>
        <v>113.14290868488152</v>
      </c>
      <c r="H38" s="70">
        <f t="shared" si="8"/>
        <v>156.9523615105864</v>
      </c>
      <c r="I38" s="26">
        <f t="shared" si="9"/>
        <v>0</v>
      </c>
      <c r="J38" s="19">
        <f>'[1]А-4'!$G$39</f>
        <v>0</v>
      </c>
      <c r="K38" s="19">
        <f>'[1]А-4'!$H$39</f>
        <v>0</v>
      </c>
      <c r="L38" s="26">
        <f>'[1]А-4'!$R$39</f>
        <v>0</v>
      </c>
      <c r="M38" s="26">
        <f>'[1]А-4'!$AD$39</f>
        <v>0</v>
      </c>
      <c r="N38" s="21"/>
      <c r="O38" s="21"/>
      <c r="P38" s="26">
        <f t="shared" si="1"/>
        <v>0</v>
      </c>
      <c r="Q38" s="26">
        <f t="shared" si="12"/>
        <v>0</v>
      </c>
      <c r="R38" s="22">
        <f t="shared" si="13"/>
        <v>0</v>
      </c>
      <c r="S38" s="22">
        <f t="shared" si="14"/>
        <v>0</v>
      </c>
      <c r="T38" s="16">
        <f t="shared" si="15"/>
        <v>0</v>
      </c>
      <c r="U38" s="24">
        <f t="shared" si="18"/>
        <v>0</v>
      </c>
      <c r="V38" s="9">
        <v>12</v>
      </c>
      <c r="W38" s="24">
        <f t="shared" si="16"/>
        <v>0</v>
      </c>
      <c r="X38" s="48">
        <f t="shared" si="5"/>
        <v>0</v>
      </c>
    </row>
    <row r="39" spans="1:24" ht="12.75">
      <c r="A39" s="28">
        <f t="shared" si="17"/>
        <v>31</v>
      </c>
      <c r="B39" s="33" t="s">
        <v>28</v>
      </c>
      <c r="C39" s="34"/>
      <c r="D39" s="19">
        <f>'[1]А-4'!$F$41</f>
        <v>5</v>
      </c>
      <c r="E39" s="95">
        <f>'[1]Норматив и фактически 2017'!$F$44</f>
        <v>103</v>
      </c>
      <c r="F39" s="112">
        <f t="shared" si="6"/>
        <v>98.55466182321398</v>
      </c>
      <c r="G39" s="70">
        <f t="shared" si="7"/>
        <v>41.284547837744334</v>
      </c>
      <c r="H39" s="70">
        <f t="shared" si="8"/>
        <v>57.270113985469635</v>
      </c>
      <c r="I39" s="26">
        <f t="shared" si="9"/>
        <v>31.58</v>
      </c>
      <c r="J39" s="19">
        <f>'[1]А-4'!$G$41</f>
        <v>31.58</v>
      </c>
      <c r="K39" s="19">
        <f>'[1]А-4'!$H$41</f>
        <v>0</v>
      </c>
      <c r="L39" s="26">
        <f>'[1]А-4'!$R$41</f>
        <v>20</v>
      </c>
      <c r="M39" s="26">
        <f>'[1]А-4'!$AD$41</f>
        <v>0</v>
      </c>
      <c r="N39" s="21">
        <f t="shared" si="10"/>
        <v>6.3331222292590255</v>
      </c>
      <c r="O39" s="21"/>
      <c r="P39" s="26">
        <f t="shared" si="1"/>
        <v>2.2</v>
      </c>
      <c r="Q39" s="26">
        <f t="shared" si="12"/>
        <v>0</v>
      </c>
      <c r="R39" s="22">
        <f t="shared" si="13"/>
        <v>90</v>
      </c>
      <c r="S39" s="22">
        <f t="shared" si="14"/>
        <v>0</v>
      </c>
      <c r="T39" s="16">
        <f t="shared" si="15"/>
        <v>90</v>
      </c>
      <c r="U39" s="24">
        <f t="shared" si="18"/>
        <v>16</v>
      </c>
      <c r="V39" s="7">
        <v>5</v>
      </c>
      <c r="W39" s="24">
        <f t="shared" si="16"/>
        <v>5</v>
      </c>
      <c r="X39" s="48">
        <f t="shared" si="5"/>
        <v>0.913198811046004</v>
      </c>
    </row>
    <row r="40" spans="1:24" s="27" customFormat="1" ht="21.75" customHeight="1">
      <c r="A40" s="28">
        <f t="shared" si="17"/>
        <v>32</v>
      </c>
      <c r="B40" s="33" t="s">
        <v>126</v>
      </c>
      <c r="C40" s="34"/>
      <c r="D40" s="19">
        <f>'[1]А-4'!$F$47</f>
        <v>3</v>
      </c>
      <c r="E40" s="95">
        <f>'[1]Норматив и фактически 2017'!$F$45</f>
        <v>207</v>
      </c>
      <c r="F40" s="112">
        <f t="shared" si="6"/>
        <v>198.06616502335237</v>
      </c>
      <c r="G40" s="70">
        <f t="shared" si="7"/>
        <v>82.96991652828231</v>
      </c>
      <c r="H40" s="70">
        <f t="shared" si="8"/>
        <v>115.09624849507006</v>
      </c>
      <c r="I40" s="26">
        <f t="shared" si="9"/>
        <v>23.6</v>
      </c>
      <c r="J40" s="19">
        <f>'[1]А-4'!$G$47</f>
        <v>23.6</v>
      </c>
      <c r="K40" s="19">
        <f>'[1]А-4'!$HG$47</f>
        <v>0</v>
      </c>
      <c r="L40" s="26">
        <f>'[1]А-4'!$R$47</f>
        <v>0</v>
      </c>
      <c r="M40" s="26">
        <f>'[1]А-4'!$AD$47</f>
        <v>0</v>
      </c>
      <c r="N40" s="21">
        <f t="shared" si="10"/>
        <v>0</v>
      </c>
      <c r="O40" s="21"/>
      <c r="P40" s="26">
        <f t="shared" si="1"/>
        <v>0</v>
      </c>
      <c r="Q40" s="26">
        <f t="shared" si="12"/>
        <v>0</v>
      </c>
      <c r="R40" s="22">
        <f t="shared" si="13"/>
        <v>0</v>
      </c>
      <c r="S40" s="22">
        <f t="shared" si="14"/>
        <v>0</v>
      </c>
      <c r="T40" s="16">
        <f t="shared" si="15"/>
        <v>0</v>
      </c>
      <c r="U40" s="24">
        <f t="shared" si="18"/>
        <v>0</v>
      </c>
      <c r="V40" s="7"/>
      <c r="W40" s="24">
        <f t="shared" si="16"/>
        <v>0</v>
      </c>
      <c r="X40" s="48">
        <f t="shared" si="5"/>
        <v>0</v>
      </c>
    </row>
    <row r="41" spans="1:24" s="27" customFormat="1" ht="21" customHeight="1">
      <c r="A41" s="28">
        <f t="shared" si="17"/>
        <v>33</v>
      </c>
      <c r="B41" s="42" t="s">
        <v>127</v>
      </c>
      <c r="C41" s="43"/>
      <c r="D41" s="19">
        <f>'[1]А-4'!$F$32</f>
        <v>3</v>
      </c>
      <c r="E41" s="95">
        <f>'[1]Норматив и фактически 2017'!$F$46</f>
        <v>317.5985</v>
      </c>
      <c r="F41" s="112">
        <f t="shared" si="6"/>
        <v>303.8913860491264</v>
      </c>
      <c r="G41" s="70">
        <f t="shared" si="7"/>
        <v>127.30010161597906</v>
      </c>
      <c r="H41" s="70">
        <f t="shared" si="8"/>
        <v>176.59128443314734</v>
      </c>
      <c r="I41" s="26">
        <f t="shared" si="9"/>
        <v>34</v>
      </c>
      <c r="J41" s="19">
        <f>'[1]А-4'!$G$32</f>
        <v>34</v>
      </c>
      <c r="K41" s="19">
        <f>'[1]А-4'!$H$32</f>
        <v>0</v>
      </c>
      <c r="L41" s="26">
        <f>'[1]А-4'!$R$32</f>
        <v>0</v>
      </c>
      <c r="M41" s="26">
        <f>'[1]А-4'!$AD$32</f>
        <v>0</v>
      </c>
      <c r="N41" s="21">
        <f t="shared" si="10"/>
        <v>0</v>
      </c>
      <c r="O41" s="21"/>
      <c r="P41" s="26">
        <f t="shared" si="1"/>
        <v>0</v>
      </c>
      <c r="Q41" s="26">
        <f t="shared" si="12"/>
        <v>0</v>
      </c>
      <c r="R41" s="22">
        <f t="shared" si="13"/>
        <v>0</v>
      </c>
      <c r="S41" s="22">
        <f t="shared" si="14"/>
        <v>0</v>
      </c>
      <c r="T41" s="16">
        <f t="shared" si="15"/>
        <v>0</v>
      </c>
      <c r="U41" s="24">
        <f t="shared" si="18"/>
        <v>0</v>
      </c>
      <c r="V41" s="7"/>
      <c r="W41" s="24">
        <f t="shared" si="16"/>
        <v>0</v>
      </c>
      <c r="X41" s="48">
        <f t="shared" si="5"/>
        <v>0</v>
      </c>
    </row>
    <row r="42" spans="1:24" s="27" customFormat="1" ht="12.75">
      <c r="A42" s="28">
        <f t="shared" si="17"/>
        <v>34</v>
      </c>
      <c r="B42" s="33" t="s">
        <v>52</v>
      </c>
      <c r="C42" s="34"/>
      <c r="D42" s="19">
        <f>'[1]А-4'!$F$45</f>
        <v>3</v>
      </c>
      <c r="E42" s="95">
        <f>'[1]Норматив и фактически 2017'!$F$47</f>
        <v>166.5</v>
      </c>
      <c r="F42" s="112">
        <f t="shared" si="6"/>
        <v>159.31408925791385</v>
      </c>
      <c r="G42" s="70">
        <f t="shared" si="7"/>
        <v>66.73667199014011</v>
      </c>
      <c r="H42" s="70">
        <f t="shared" si="8"/>
        <v>92.57741726777373</v>
      </c>
      <c r="I42" s="26">
        <f t="shared" si="9"/>
        <v>31.199999999999996</v>
      </c>
      <c r="J42" s="19">
        <f>'[1]А-4'!$G$45</f>
        <v>16.9</v>
      </c>
      <c r="K42" s="19">
        <f>'[1]А-4'!$H$45</f>
        <v>14.299999999999999</v>
      </c>
      <c r="L42" s="26">
        <f>'[1]А-4'!$R$45</f>
        <v>0</v>
      </c>
      <c r="M42" s="26">
        <f>'[1]А-4'!$AD$45</f>
        <v>1</v>
      </c>
      <c r="N42" s="21">
        <f t="shared" si="10"/>
        <v>0</v>
      </c>
      <c r="O42" s="21">
        <f t="shared" si="11"/>
        <v>0.6993006993006994</v>
      </c>
      <c r="P42" s="26">
        <f t="shared" si="1"/>
        <v>0</v>
      </c>
      <c r="Q42" s="26">
        <f t="shared" si="12"/>
        <v>0.2</v>
      </c>
      <c r="R42" s="22">
        <f t="shared" si="13"/>
        <v>0</v>
      </c>
      <c r="S42" s="22">
        <f t="shared" si="14"/>
        <v>18</v>
      </c>
      <c r="T42" s="16">
        <f t="shared" si="15"/>
        <v>18</v>
      </c>
      <c r="U42" s="24">
        <f t="shared" si="18"/>
        <v>0</v>
      </c>
      <c r="V42" s="7"/>
      <c r="W42" s="24">
        <f t="shared" si="16"/>
        <v>0</v>
      </c>
      <c r="X42" s="48">
        <f t="shared" si="5"/>
        <v>0.11298435740268878</v>
      </c>
    </row>
    <row r="43" spans="1:24" s="27" customFormat="1" ht="12.75">
      <c r="A43" s="28">
        <f t="shared" si="17"/>
        <v>35</v>
      </c>
      <c r="B43" s="33" t="s">
        <v>62</v>
      </c>
      <c r="C43" s="34"/>
      <c r="D43" s="19">
        <f>'[1]А-4'!$F$51</f>
        <v>1</v>
      </c>
      <c r="E43" s="95">
        <f>'[1]Норматив и фактически 2017'!$F$48</f>
        <v>11.59</v>
      </c>
      <c r="F43" s="112">
        <f t="shared" si="6"/>
        <v>11.089791558553882</v>
      </c>
      <c r="G43" s="70">
        <f t="shared" si="7"/>
        <v>4.645513683878221</v>
      </c>
      <c r="H43" s="70">
        <f t="shared" si="8"/>
        <v>6.44427787467566</v>
      </c>
      <c r="I43" s="26">
        <f t="shared" si="9"/>
        <v>9.9</v>
      </c>
      <c r="J43" s="19">
        <f>'[1]А-4'!$G$51</f>
        <v>0</v>
      </c>
      <c r="K43" s="19">
        <f>'[1]А-4'!$H$51</f>
        <v>9.9</v>
      </c>
      <c r="L43" s="26">
        <f>'[1]А-4'!$R$51</f>
        <v>0</v>
      </c>
      <c r="M43" s="26">
        <f>'[1]А-4'!$AD$51</f>
        <v>0</v>
      </c>
      <c r="N43" s="21"/>
      <c r="O43" s="21">
        <f t="shared" si="11"/>
        <v>0</v>
      </c>
      <c r="P43" s="26">
        <f t="shared" si="1"/>
        <v>0</v>
      </c>
      <c r="Q43" s="26">
        <f t="shared" si="12"/>
        <v>0</v>
      </c>
      <c r="R43" s="22">
        <f t="shared" si="13"/>
        <v>0</v>
      </c>
      <c r="S43" s="22">
        <f t="shared" si="14"/>
        <v>0</v>
      </c>
      <c r="T43" s="16">
        <f t="shared" si="15"/>
        <v>0</v>
      </c>
      <c r="U43" s="24">
        <f t="shared" si="18"/>
        <v>0</v>
      </c>
      <c r="V43" s="7"/>
      <c r="W43" s="24">
        <f t="shared" si="16"/>
        <v>0</v>
      </c>
      <c r="X43" s="48">
        <f t="shared" si="5"/>
        <v>0</v>
      </c>
    </row>
    <row r="44" spans="1:24" s="27" customFormat="1" ht="12.75">
      <c r="A44" s="28">
        <f t="shared" si="17"/>
        <v>36</v>
      </c>
      <c r="B44" s="123" t="s">
        <v>35</v>
      </c>
      <c r="C44" s="124"/>
      <c r="D44" s="125">
        <f>'[1]А-4'!$F$48</f>
        <v>3</v>
      </c>
      <c r="E44" s="134">
        <f>'[1]Норматив и фактически 2017'!$F$49</f>
        <v>252.3</v>
      </c>
      <c r="F44" s="127">
        <f t="shared" si="6"/>
        <v>241.41107939802802</v>
      </c>
      <c r="G44" s="128">
        <f t="shared" si="7"/>
        <v>101.12710115983394</v>
      </c>
      <c r="H44" s="128">
        <f t="shared" si="8"/>
        <v>140.28397823819407</v>
      </c>
      <c r="I44" s="129">
        <f t="shared" si="9"/>
        <v>35.7</v>
      </c>
      <c r="J44" s="125">
        <f>'[1]А-4'!$G$48</f>
        <v>10.2</v>
      </c>
      <c r="K44" s="125">
        <f>'[1]А-4'!$H$48</f>
        <v>25.5</v>
      </c>
      <c r="L44" s="129">
        <f>'[1]А-4'!$R$48</f>
        <v>4</v>
      </c>
      <c r="M44" s="129">
        <f>'[1]А-4'!$AD$48</f>
        <v>0</v>
      </c>
      <c r="N44" s="130">
        <f t="shared" si="10"/>
        <v>3.9215686274509807</v>
      </c>
      <c r="O44" s="130">
        <f t="shared" si="11"/>
        <v>0</v>
      </c>
      <c r="P44" s="129">
        <f t="shared" si="1"/>
        <v>1.4</v>
      </c>
      <c r="Q44" s="129">
        <f t="shared" si="12"/>
        <v>0</v>
      </c>
      <c r="R44" s="131">
        <f t="shared" si="13"/>
        <v>141</v>
      </c>
      <c r="S44" s="131">
        <f t="shared" si="14"/>
        <v>0</v>
      </c>
      <c r="T44" s="131">
        <f t="shared" si="15"/>
        <v>141</v>
      </c>
      <c r="U44" s="132">
        <v>0</v>
      </c>
      <c r="V44" s="133"/>
      <c r="W44" s="132">
        <f t="shared" si="16"/>
        <v>0</v>
      </c>
      <c r="X44" s="48">
        <f t="shared" si="5"/>
        <v>0.5840659855031979</v>
      </c>
    </row>
    <row r="45" spans="1:24" ht="12.75" customHeight="1">
      <c r="A45" s="28">
        <f t="shared" si="17"/>
        <v>37</v>
      </c>
      <c r="B45" s="89" t="s">
        <v>130</v>
      </c>
      <c r="C45" s="97"/>
      <c r="D45" s="19">
        <f>'[1]А-4'!$F$36</f>
        <v>0</v>
      </c>
      <c r="E45" s="95">
        <f>'[1]Норматив и фактически 2017'!$F$50</f>
        <v>209.208</v>
      </c>
      <c r="F45" s="112">
        <f t="shared" si="6"/>
        <v>200.17887078360144</v>
      </c>
      <c r="G45" s="70">
        <f t="shared" si="7"/>
        <v>83.85492897125064</v>
      </c>
      <c r="H45" s="70">
        <f t="shared" si="8"/>
        <v>116.32394181235078</v>
      </c>
      <c r="I45" s="26">
        <f t="shared" si="9"/>
        <v>0</v>
      </c>
      <c r="J45" s="19">
        <f>'[1]А-4'!$G$36</f>
        <v>0</v>
      </c>
      <c r="K45" s="19">
        <f>'[1]А-4'!$H$36</f>
        <v>0</v>
      </c>
      <c r="L45" s="26">
        <f>'[1]А-4'!$R$36</f>
        <v>0</v>
      </c>
      <c r="M45" s="26">
        <f>'[1]А-4'!$AD$36</f>
        <v>0</v>
      </c>
      <c r="N45" s="21"/>
      <c r="O45" s="21"/>
      <c r="P45" s="26">
        <f t="shared" si="1"/>
        <v>0</v>
      </c>
      <c r="Q45" s="26">
        <f t="shared" si="12"/>
        <v>0</v>
      </c>
      <c r="R45" s="22">
        <f t="shared" si="13"/>
        <v>0</v>
      </c>
      <c r="S45" s="22">
        <f t="shared" si="14"/>
        <v>0</v>
      </c>
      <c r="T45" s="16">
        <f t="shared" si="15"/>
        <v>0</v>
      </c>
      <c r="U45" s="24">
        <f t="shared" si="18"/>
        <v>0</v>
      </c>
      <c r="V45" s="9"/>
      <c r="W45" s="24">
        <f t="shared" si="16"/>
        <v>0</v>
      </c>
      <c r="X45" s="48">
        <f t="shared" si="5"/>
        <v>0</v>
      </c>
    </row>
    <row r="46" spans="1:24" ht="12.75" customHeight="1">
      <c r="A46" s="28">
        <f t="shared" si="17"/>
        <v>38</v>
      </c>
      <c r="B46" s="181" t="s">
        <v>129</v>
      </c>
      <c r="C46" s="182"/>
      <c r="D46" s="19">
        <f>'[1]А-4'!$F$31</f>
        <v>4</v>
      </c>
      <c r="E46" s="95">
        <f>'[1]Норматив и фактически 2017'!$F$51</f>
        <v>544.149</v>
      </c>
      <c r="F46" s="112">
        <f t="shared" si="6"/>
        <v>520.6642784120394</v>
      </c>
      <c r="G46" s="70">
        <f t="shared" si="7"/>
        <v>218.10626622680329</v>
      </c>
      <c r="H46" s="70">
        <f t="shared" si="8"/>
        <v>302.55801218523607</v>
      </c>
      <c r="I46" s="26">
        <f t="shared" si="9"/>
        <v>44.9</v>
      </c>
      <c r="J46" s="19">
        <f>'[1]А-4'!$G$31</f>
        <v>24.3</v>
      </c>
      <c r="K46" s="19">
        <f>'[1]А-4'!$H$31</f>
        <v>20.599999999999998</v>
      </c>
      <c r="L46" s="26">
        <f>'[1]А-4'!$R$31</f>
        <v>0</v>
      </c>
      <c r="M46" s="26">
        <f>'[1]А-4'!$AD$31</f>
        <v>0</v>
      </c>
      <c r="N46" s="21">
        <f t="shared" si="10"/>
        <v>0</v>
      </c>
      <c r="O46" s="21">
        <f t="shared" si="11"/>
        <v>0</v>
      </c>
      <c r="P46" s="26">
        <f t="shared" si="1"/>
        <v>0</v>
      </c>
      <c r="Q46" s="26">
        <f t="shared" si="12"/>
        <v>0</v>
      </c>
      <c r="R46" s="22">
        <f t="shared" si="13"/>
        <v>0</v>
      </c>
      <c r="S46" s="22">
        <f t="shared" si="14"/>
        <v>0</v>
      </c>
      <c r="T46" s="16">
        <f t="shared" si="15"/>
        <v>0</v>
      </c>
      <c r="U46" s="24">
        <f t="shared" si="18"/>
        <v>0</v>
      </c>
      <c r="V46" s="9"/>
      <c r="W46" s="24">
        <f t="shared" si="16"/>
        <v>0</v>
      </c>
      <c r="X46" s="48">
        <f t="shared" si="5"/>
        <v>0</v>
      </c>
    </row>
    <row r="47" spans="1:24" ht="12.75" customHeight="1">
      <c r="A47" s="28">
        <f t="shared" si="17"/>
        <v>39</v>
      </c>
      <c r="B47" s="206" t="s">
        <v>131</v>
      </c>
      <c r="C47" s="207"/>
      <c r="D47" s="19">
        <f>'[1]А-4'!$F$33</f>
        <v>2</v>
      </c>
      <c r="E47" s="95">
        <f>'[1]Норматив и фактически 2017'!$F$52</f>
        <v>173.413</v>
      </c>
      <c r="F47" s="112">
        <f t="shared" si="6"/>
        <v>165.9287336965923</v>
      </c>
      <c r="G47" s="70">
        <f t="shared" si="7"/>
        <v>69.50754654550252</v>
      </c>
      <c r="H47" s="70">
        <f t="shared" si="8"/>
        <v>96.42118715108978</v>
      </c>
      <c r="I47" s="26">
        <f t="shared" si="9"/>
        <v>20.9</v>
      </c>
      <c r="J47" s="19">
        <f>'[1]А-4'!$G$33</f>
        <v>20.9</v>
      </c>
      <c r="K47" s="19">
        <f>'[1]А-4'!$H$33</f>
        <v>0</v>
      </c>
      <c r="L47" s="26">
        <f>'[1]А-4'!$R$33</f>
        <v>12</v>
      </c>
      <c r="M47" s="26">
        <f>'[1]А-4'!$AD$33</f>
        <v>0</v>
      </c>
      <c r="N47" s="21">
        <f t="shared" si="10"/>
        <v>5.741626794258374</v>
      </c>
      <c r="O47" s="21"/>
      <c r="P47" s="26">
        <f t="shared" si="1"/>
        <v>2</v>
      </c>
      <c r="Q47" s="26">
        <f t="shared" si="12"/>
        <v>0</v>
      </c>
      <c r="R47" s="22">
        <f t="shared" si="13"/>
        <v>139</v>
      </c>
      <c r="S47" s="22">
        <f t="shared" si="14"/>
        <v>0</v>
      </c>
      <c r="T47" s="16">
        <f t="shared" si="15"/>
        <v>139</v>
      </c>
      <c r="U47" s="24">
        <f t="shared" si="18"/>
        <v>25</v>
      </c>
      <c r="V47" s="9"/>
      <c r="W47" s="24">
        <f t="shared" si="16"/>
        <v>0</v>
      </c>
      <c r="X47" s="48">
        <f t="shared" si="5"/>
        <v>0.8377090387139781</v>
      </c>
    </row>
    <row r="48" spans="1:23" ht="12.75" customHeight="1">
      <c r="A48" s="28">
        <f t="shared" si="17"/>
        <v>40</v>
      </c>
      <c r="B48" s="217"/>
      <c r="C48" s="218"/>
      <c r="D48" s="9"/>
      <c r="E48" s="9"/>
      <c r="F48" s="10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9"/>
      <c r="U48" s="9"/>
      <c r="V48" s="9"/>
      <c r="W48" s="9"/>
    </row>
    <row r="49" spans="1:24" ht="12.75" customHeight="1">
      <c r="A49" s="28">
        <f t="shared" si="17"/>
        <v>41</v>
      </c>
      <c r="B49" s="89"/>
      <c r="C49" s="91"/>
      <c r="D49" s="19"/>
      <c r="E49" s="92"/>
      <c r="F49" s="112"/>
      <c r="G49" s="70"/>
      <c r="H49" s="70"/>
      <c r="I49" s="26"/>
      <c r="J49" s="19"/>
      <c r="K49" s="19"/>
      <c r="L49" s="26"/>
      <c r="M49" s="26"/>
      <c r="N49" s="21"/>
      <c r="O49" s="21"/>
      <c r="P49" s="26"/>
      <c r="Q49" s="26"/>
      <c r="R49" s="22"/>
      <c r="S49" s="22"/>
      <c r="T49" s="16"/>
      <c r="U49" s="24"/>
      <c r="V49" s="9"/>
      <c r="W49" s="24"/>
      <c r="X49" s="48"/>
    </row>
    <row r="50" spans="1:24" ht="12.75" customHeight="1">
      <c r="A50" s="28">
        <f t="shared" si="17"/>
        <v>42</v>
      </c>
      <c r="B50" s="89"/>
      <c r="C50" s="91"/>
      <c r="D50" s="19"/>
      <c r="E50" s="92"/>
      <c r="F50" s="112"/>
      <c r="G50" s="70"/>
      <c r="H50" s="70"/>
      <c r="I50" s="26"/>
      <c r="J50" s="19"/>
      <c r="K50" s="19"/>
      <c r="L50" s="26"/>
      <c r="M50" s="26"/>
      <c r="N50" s="21"/>
      <c r="O50" s="21"/>
      <c r="P50" s="26"/>
      <c r="Q50" s="26"/>
      <c r="R50" s="22"/>
      <c r="S50" s="22"/>
      <c r="T50" s="16"/>
      <c r="U50" s="24"/>
      <c r="V50" s="9"/>
      <c r="W50" s="24"/>
      <c r="X50" s="48"/>
    </row>
    <row r="51" spans="1:24" ht="12.75" customHeight="1">
      <c r="A51" s="28">
        <f t="shared" si="17"/>
        <v>43</v>
      </c>
      <c r="B51" s="89"/>
      <c r="C51" s="91"/>
      <c r="D51" s="19"/>
      <c r="E51" s="92"/>
      <c r="F51" s="112"/>
      <c r="G51" s="70"/>
      <c r="H51" s="70"/>
      <c r="I51" s="26"/>
      <c r="J51" s="19"/>
      <c r="K51" s="19"/>
      <c r="L51" s="26"/>
      <c r="M51" s="26"/>
      <c r="N51" s="21"/>
      <c r="O51" s="21"/>
      <c r="P51" s="26"/>
      <c r="Q51" s="26"/>
      <c r="R51" s="22"/>
      <c r="S51" s="22"/>
      <c r="T51" s="16"/>
      <c r="U51" s="24"/>
      <c r="V51" s="9"/>
      <c r="W51" s="24"/>
      <c r="X51" s="48"/>
    </row>
    <row r="52" spans="1:24" ht="12.75" customHeight="1">
      <c r="A52" s="28">
        <f t="shared" si="17"/>
        <v>44</v>
      </c>
      <c r="B52" s="89"/>
      <c r="C52" s="91"/>
      <c r="D52" s="19"/>
      <c r="E52" s="92"/>
      <c r="F52" s="112"/>
      <c r="G52" s="70"/>
      <c r="H52" s="70"/>
      <c r="I52" s="26"/>
      <c r="J52" s="19"/>
      <c r="K52" s="19"/>
      <c r="L52" s="26"/>
      <c r="M52" s="26"/>
      <c r="N52" s="21"/>
      <c r="O52" s="21"/>
      <c r="P52" s="26"/>
      <c r="Q52" s="26"/>
      <c r="R52" s="22"/>
      <c r="S52" s="22"/>
      <c r="T52" s="16"/>
      <c r="U52" s="24"/>
      <c r="V52" s="9"/>
      <c r="W52" s="24"/>
      <c r="X52" s="48"/>
    </row>
    <row r="53" spans="1:24" ht="12.75" customHeight="1">
      <c r="A53" s="28">
        <f t="shared" si="17"/>
        <v>45</v>
      </c>
      <c r="B53" s="89"/>
      <c r="C53" s="91"/>
      <c r="D53" s="19"/>
      <c r="E53" s="92"/>
      <c r="F53" s="112"/>
      <c r="G53" s="70"/>
      <c r="H53" s="70"/>
      <c r="I53" s="26"/>
      <c r="J53" s="19"/>
      <c r="K53" s="19"/>
      <c r="L53" s="26"/>
      <c r="M53" s="26"/>
      <c r="N53" s="21"/>
      <c r="O53" s="21"/>
      <c r="P53" s="26"/>
      <c r="Q53" s="26"/>
      <c r="R53" s="22"/>
      <c r="S53" s="22"/>
      <c r="T53" s="16"/>
      <c r="U53" s="24"/>
      <c r="V53" s="9"/>
      <c r="W53" s="24"/>
      <c r="X53" s="48"/>
    </row>
    <row r="54" spans="1:30" ht="27.75" customHeight="1">
      <c r="A54" s="9"/>
      <c r="B54" s="210" t="s">
        <v>88</v>
      </c>
      <c r="C54" s="178"/>
      <c r="D54" s="78">
        <f aca="true" t="shared" si="19" ref="D54:M54">SUM(D55:D65)</f>
        <v>72</v>
      </c>
      <c r="E54" s="74">
        <f t="shared" si="19"/>
        <v>6034.835000000001</v>
      </c>
      <c r="F54" s="74">
        <f t="shared" si="19"/>
        <v>3890.0276445787</v>
      </c>
      <c r="G54" s="78">
        <f t="shared" si="19"/>
        <v>3216.6638593021266</v>
      </c>
      <c r="H54" s="78">
        <f t="shared" si="19"/>
        <v>673.3637852765729</v>
      </c>
      <c r="I54" s="78">
        <f t="shared" si="19"/>
        <v>787.6099999999999</v>
      </c>
      <c r="J54" s="78">
        <f t="shared" si="19"/>
        <v>724.0999999999999</v>
      </c>
      <c r="K54" s="76">
        <f t="shared" si="19"/>
        <v>63.51</v>
      </c>
      <c r="L54" s="76">
        <f t="shared" si="19"/>
        <v>395</v>
      </c>
      <c r="M54" s="78">
        <f t="shared" si="19"/>
        <v>22</v>
      </c>
      <c r="N54" s="74">
        <f>ROUND(L54/J54*10,2)</f>
        <v>5.46</v>
      </c>
      <c r="O54" s="74">
        <f>ROUND(M54/K54*10,3)</f>
        <v>3.464</v>
      </c>
      <c r="P54" s="76">
        <f>ROUND(N54*$M$5,1)</f>
        <v>1.9</v>
      </c>
      <c r="Q54" s="76">
        <f>ROUND(O54*$M$5,1)</f>
        <v>1.2</v>
      </c>
      <c r="R54" s="78">
        <f aca="true" t="shared" si="20" ref="R54:W54">SUM(R55:R65)</f>
        <v>5365</v>
      </c>
      <c r="S54" s="78">
        <f t="shared" si="20"/>
        <v>265</v>
      </c>
      <c r="T54" s="78">
        <f t="shared" si="20"/>
        <v>5630</v>
      </c>
      <c r="U54" s="78">
        <f t="shared" si="20"/>
        <v>1010</v>
      </c>
      <c r="V54" s="78">
        <f t="shared" si="20"/>
        <v>93</v>
      </c>
      <c r="W54" s="78">
        <f t="shared" si="20"/>
        <v>700</v>
      </c>
      <c r="X54" s="48">
        <f aca="true" t="shared" si="21" ref="X54:X65">T54/F54</f>
        <v>1.4472904859291158</v>
      </c>
      <c r="Y54">
        <v>0.644595526568448</v>
      </c>
      <c r="AB54">
        <v>2411</v>
      </c>
      <c r="AD54" s="20">
        <f>T54-AB54</f>
        <v>3219</v>
      </c>
    </row>
    <row r="55" spans="1:24" ht="12.75">
      <c r="A55" s="28">
        <v>46</v>
      </c>
      <c r="B55" s="80" t="s">
        <v>38</v>
      </c>
      <c r="C55" s="81"/>
      <c r="D55" s="18">
        <f>'[1]А-4'!$F$60</f>
        <v>0</v>
      </c>
      <c r="E55" s="92">
        <f>'[1]Норматив и фактически 2017'!$F$60</f>
        <v>45.173</v>
      </c>
      <c r="F55" s="112">
        <f aca="true" t="shared" si="22" ref="F55:F65">E55*$Y$54</f>
        <v>29.1183137216765</v>
      </c>
      <c r="G55" s="70">
        <f aca="true" t="shared" si="23" ref="G55:G65">F55*0.8269</f>
        <v>24.0779336164543</v>
      </c>
      <c r="H55" s="70">
        <f aca="true" t="shared" si="24" ref="H55:H65">F55*0.1731</f>
        <v>5.040380105222202</v>
      </c>
      <c r="I55" s="26">
        <f aca="true" t="shared" si="25" ref="I55:I65">J55+K55</f>
        <v>0</v>
      </c>
      <c r="J55" s="19">
        <f>'[1]А-4'!G60</f>
        <v>0</v>
      </c>
      <c r="K55" s="26">
        <v>0</v>
      </c>
      <c r="L55" s="26">
        <f>'[1]А-4'!$R$60</f>
        <v>0</v>
      </c>
      <c r="M55" s="26">
        <f>'[1]А-4'!$AD$60</f>
        <v>0</v>
      </c>
      <c r="N55" s="21"/>
      <c r="O55" s="21">
        <v>0</v>
      </c>
      <c r="P55" s="26"/>
      <c r="Q55" s="21">
        <f>ROUND(O55*$M$5,2)</f>
        <v>0</v>
      </c>
      <c r="R55" s="22">
        <f aca="true" t="shared" si="26" ref="R55:R65">ROUNDDOWN((P55*G55),0)</f>
        <v>0</v>
      </c>
      <c r="S55" s="22">
        <f aca="true" t="shared" si="27" ref="S55:S65">ROUNDDOWN((Q55*H55),0)</f>
        <v>0</v>
      </c>
      <c r="T55" s="16">
        <f aca="true" t="shared" si="28" ref="T55:T65">R55+S55</f>
        <v>0</v>
      </c>
      <c r="U55" s="24">
        <f>ROUNDDOWN(IF(T55&lt;$O$3,"0",T55*18/100),0)</f>
        <v>0</v>
      </c>
      <c r="V55" s="9">
        <v>0</v>
      </c>
      <c r="W55" s="24">
        <v>0</v>
      </c>
      <c r="X55" s="48">
        <f t="shared" si="21"/>
        <v>0</v>
      </c>
    </row>
    <row r="56" spans="1:28" ht="12.75">
      <c r="A56" s="28">
        <v>47</v>
      </c>
      <c r="B56" s="8" t="s">
        <v>16</v>
      </c>
      <c r="C56" s="9"/>
      <c r="D56" s="18">
        <f>'[1]А-4'!$F$61</f>
        <v>4</v>
      </c>
      <c r="E56" s="92">
        <f>'[1]Норматив и фактически 2017'!$F$61</f>
        <v>309.7</v>
      </c>
      <c r="F56" s="112">
        <f t="shared" si="22"/>
        <v>199.63123457824832</v>
      </c>
      <c r="G56" s="70">
        <f t="shared" si="23"/>
        <v>165.07506787275352</v>
      </c>
      <c r="H56" s="70">
        <f t="shared" si="24"/>
        <v>34.55616670549479</v>
      </c>
      <c r="I56" s="26">
        <f t="shared" si="25"/>
        <v>24.1</v>
      </c>
      <c r="J56" s="19">
        <f>'[1]А-4'!G61</f>
        <v>24.1</v>
      </c>
      <c r="K56" s="26">
        <f>'[1]А-4'!$H$62</f>
        <v>0</v>
      </c>
      <c r="L56" s="26">
        <f>'[1]А-4'!$R$61</f>
        <v>0</v>
      </c>
      <c r="M56" s="26">
        <f>'[1]А-4'!$AD$61</f>
        <v>15</v>
      </c>
      <c r="N56" s="21">
        <f aca="true" t="shared" si="29" ref="N56:N65">L56*10/J56</f>
        <v>0</v>
      </c>
      <c r="O56" s="21"/>
      <c r="P56" s="26">
        <f aca="true" t="shared" si="30" ref="P56:P65">ROUND(N56*$M$5,1)</f>
        <v>0</v>
      </c>
      <c r="Q56" s="26">
        <f aca="true" t="shared" si="31" ref="Q56:Q65">ROUND(O56*$M$5,1)</f>
        <v>0</v>
      </c>
      <c r="R56" s="22">
        <f t="shared" si="26"/>
        <v>0</v>
      </c>
      <c r="S56" s="22">
        <f t="shared" si="27"/>
        <v>0</v>
      </c>
      <c r="T56" s="16">
        <f t="shared" si="28"/>
        <v>0</v>
      </c>
      <c r="U56" s="24">
        <f aca="true" t="shared" si="32" ref="U56:U65">ROUNDDOWN(IF(T56&lt;$O$3,"0",T56*18/100),0)</f>
        <v>0</v>
      </c>
      <c r="V56" s="9">
        <v>11</v>
      </c>
      <c r="W56" s="24">
        <f>IF(V56&lt;=U56,V56,U56)</f>
        <v>0</v>
      </c>
      <c r="X56" s="48">
        <f t="shared" si="21"/>
        <v>0</v>
      </c>
      <c r="AB56" s="49"/>
    </row>
    <row r="57" spans="1:24" ht="12.75">
      <c r="A57" s="28">
        <v>48</v>
      </c>
      <c r="B57" s="35" t="s">
        <v>66</v>
      </c>
      <c r="C57" s="35"/>
      <c r="D57" s="18">
        <f>'[1]А-4'!$F$63</f>
        <v>2</v>
      </c>
      <c r="E57" s="92">
        <f>'[1]Норматив и фактически 2017'!$F$62</f>
        <v>246.336</v>
      </c>
      <c r="F57" s="112">
        <f t="shared" si="22"/>
        <v>158.78708363276522</v>
      </c>
      <c r="G57" s="70">
        <f t="shared" si="23"/>
        <v>131.30103945593356</v>
      </c>
      <c r="H57" s="70">
        <f t="shared" si="24"/>
        <v>27.48604417683166</v>
      </c>
      <c r="I57" s="26">
        <f t="shared" si="25"/>
        <v>45.71000000000001</v>
      </c>
      <c r="J57" s="19">
        <f>'[1]А-4'!G63</f>
        <v>25.700000000000003</v>
      </c>
      <c r="K57" s="26">
        <f>'[1]А-4'!$H$61</f>
        <v>20.01</v>
      </c>
      <c r="L57" s="26">
        <f>'[1]А-4'!$R$63</f>
        <v>0</v>
      </c>
      <c r="M57" s="26">
        <f>'[1]А-4'!$AD$63</f>
        <v>0</v>
      </c>
      <c r="N57" s="21">
        <f t="shared" si="29"/>
        <v>0</v>
      </c>
      <c r="O57" s="21">
        <f aca="true" t="shared" si="33" ref="O57:O65">ROUND(M57/K57*10,3)</f>
        <v>0</v>
      </c>
      <c r="P57" s="26">
        <f t="shared" si="30"/>
        <v>0</v>
      </c>
      <c r="Q57" s="26">
        <f t="shared" si="31"/>
        <v>0</v>
      </c>
      <c r="R57" s="22">
        <f t="shared" si="26"/>
        <v>0</v>
      </c>
      <c r="S57" s="22">
        <f t="shared" si="27"/>
        <v>0</v>
      </c>
      <c r="T57" s="16">
        <f t="shared" si="28"/>
        <v>0</v>
      </c>
      <c r="U57" s="24">
        <f t="shared" si="32"/>
        <v>0</v>
      </c>
      <c r="V57" s="9">
        <v>0</v>
      </c>
      <c r="W57" s="24">
        <f aca="true" t="shared" si="34" ref="W57:W64">IF(V57&lt;=U57,V57,U57)</f>
        <v>0</v>
      </c>
      <c r="X57" s="48">
        <f t="shared" si="21"/>
        <v>0</v>
      </c>
    </row>
    <row r="58" spans="1:24" ht="12.75">
      <c r="A58" s="28">
        <v>49</v>
      </c>
      <c r="B58" s="35" t="s">
        <v>67</v>
      </c>
      <c r="C58" s="35"/>
      <c r="D58" s="18">
        <f>'[1]А-4'!$F$64</f>
        <v>16</v>
      </c>
      <c r="E58" s="92">
        <f>'[1]Норматив и фактически 2017'!$F$63</f>
        <v>1221.2</v>
      </c>
      <c r="F58" s="112">
        <f t="shared" si="22"/>
        <v>787.1800570453887</v>
      </c>
      <c r="G58" s="70">
        <f t="shared" si="23"/>
        <v>650.9191891708319</v>
      </c>
      <c r="H58" s="70">
        <f t="shared" si="24"/>
        <v>136.2608678745568</v>
      </c>
      <c r="I58" s="26">
        <f t="shared" si="25"/>
        <v>164.60000000000002</v>
      </c>
      <c r="J58" s="19">
        <f>'[1]А-4'!G64</f>
        <v>150.8</v>
      </c>
      <c r="K58" s="26">
        <f>'[1]А-4'!$H$64</f>
        <v>13.799999999999999</v>
      </c>
      <c r="L58" s="26">
        <f>'[1]А-4'!$R$64</f>
        <v>48</v>
      </c>
      <c r="M58" s="26">
        <f>'[1]А-4'!$AD$64</f>
        <v>0</v>
      </c>
      <c r="N58" s="21">
        <f t="shared" si="29"/>
        <v>3.183023872679045</v>
      </c>
      <c r="O58" s="21">
        <f t="shared" si="33"/>
        <v>0</v>
      </c>
      <c r="P58" s="26">
        <f t="shared" si="30"/>
        <v>1.1</v>
      </c>
      <c r="Q58" s="26">
        <f t="shared" si="31"/>
        <v>0</v>
      </c>
      <c r="R58" s="22">
        <f t="shared" si="26"/>
        <v>716</v>
      </c>
      <c r="S58" s="22">
        <f t="shared" si="27"/>
        <v>0</v>
      </c>
      <c r="T58" s="16">
        <f t="shared" si="28"/>
        <v>716</v>
      </c>
      <c r="U58" s="24">
        <f t="shared" si="32"/>
        <v>128</v>
      </c>
      <c r="V58" s="9">
        <v>18</v>
      </c>
      <c r="W58" s="24">
        <f t="shared" si="34"/>
        <v>18</v>
      </c>
      <c r="X58" s="48">
        <f t="shared" si="21"/>
        <v>0.9095758887584667</v>
      </c>
    </row>
    <row r="59" spans="1:24" s="27" customFormat="1" ht="12.75">
      <c r="A59" s="28">
        <v>50</v>
      </c>
      <c r="B59" s="39" t="s">
        <v>30</v>
      </c>
      <c r="C59" s="39"/>
      <c r="D59" s="19">
        <f>'[1]А-4'!$F$65</f>
        <v>5</v>
      </c>
      <c r="E59" s="94">
        <f>'[1]Норматив и фактически 2017'!$F$64</f>
        <v>662</v>
      </c>
      <c r="F59" s="112">
        <f t="shared" si="22"/>
        <v>426.72223858831256</v>
      </c>
      <c r="G59" s="70">
        <f t="shared" si="23"/>
        <v>352.85661908867564</v>
      </c>
      <c r="H59" s="70">
        <f t="shared" si="24"/>
        <v>73.8656194996369</v>
      </c>
      <c r="I59" s="26">
        <f t="shared" si="25"/>
        <v>63.49999999999999</v>
      </c>
      <c r="J59" s="19">
        <f>'[1]А-4'!G65</f>
        <v>56.599999999999994</v>
      </c>
      <c r="K59" s="26">
        <f>'[1]А-4'!$H$65</f>
        <v>6.9</v>
      </c>
      <c r="L59" s="26">
        <f>'[1]А-4'!$R$65</f>
        <v>20</v>
      </c>
      <c r="M59" s="26">
        <f>'[1]А-4'!$AD$65</f>
        <v>7</v>
      </c>
      <c r="N59" s="21">
        <f t="shared" si="29"/>
        <v>3.53356890459364</v>
      </c>
      <c r="O59" s="21">
        <f t="shared" si="33"/>
        <v>10.145</v>
      </c>
      <c r="P59" s="26">
        <f t="shared" si="30"/>
        <v>1.2</v>
      </c>
      <c r="Q59" s="26">
        <f t="shared" si="31"/>
        <v>3.6</v>
      </c>
      <c r="R59" s="22">
        <f t="shared" si="26"/>
        <v>423</v>
      </c>
      <c r="S59" s="22">
        <f t="shared" si="27"/>
        <v>265</v>
      </c>
      <c r="T59" s="16">
        <f t="shared" si="28"/>
        <v>688</v>
      </c>
      <c r="U59" s="24">
        <f t="shared" si="32"/>
        <v>123</v>
      </c>
      <c r="V59" s="7">
        <v>24</v>
      </c>
      <c r="W59" s="24">
        <f t="shared" si="34"/>
        <v>24</v>
      </c>
      <c r="X59" s="48">
        <f t="shared" si="21"/>
        <v>1.612290004561397</v>
      </c>
    </row>
    <row r="60" spans="1:24" ht="12.75">
      <c r="A60" s="28">
        <v>51</v>
      </c>
      <c r="B60" s="12" t="s">
        <v>96</v>
      </c>
      <c r="C60" s="12"/>
      <c r="D60" s="18">
        <f>'[1]А-4'!$F$66</f>
        <v>3</v>
      </c>
      <c r="E60" s="92">
        <f>'[1]Норматив и фактически 2017'!$F$65</f>
        <v>265.423</v>
      </c>
      <c r="F60" s="112">
        <f t="shared" si="22"/>
        <v>171.09047844837718</v>
      </c>
      <c r="G60" s="70">
        <f t="shared" si="23"/>
        <v>141.47471662896308</v>
      </c>
      <c r="H60" s="70">
        <f t="shared" si="24"/>
        <v>29.61576181941409</v>
      </c>
      <c r="I60" s="26">
        <f t="shared" si="25"/>
        <v>39</v>
      </c>
      <c r="J60" s="19">
        <f>'[1]А-4'!G66</f>
        <v>33.2</v>
      </c>
      <c r="K60" s="26">
        <f>'[1]А-4'!$H$66</f>
        <v>5.8</v>
      </c>
      <c r="L60" s="26">
        <f>'[1]А-4'!$R$66</f>
        <v>11</v>
      </c>
      <c r="M60" s="26">
        <f>'[1]А-4'!$AD$66</f>
        <v>0</v>
      </c>
      <c r="N60" s="21">
        <f t="shared" si="29"/>
        <v>3.3132530120481927</v>
      </c>
      <c r="O60" s="21">
        <f t="shared" si="33"/>
        <v>0</v>
      </c>
      <c r="P60" s="26">
        <f t="shared" si="30"/>
        <v>1.2</v>
      </c>
      <c r="Q60" s="26">
        <f t="shared" si="31"/>
        <v>0</v>
      </c>
      <c r="R60" s="22">
        <f t="shared" si="26"/>
        <v>169</v>
      </c>
      <c r="S60" s="22">
        <f t="shared" si="27"/>
        <v>0</v>
      </c>
      <c r="T60" s="16">
        <f t="shared" si="28"/>
        <v>169</v>
      </c>
      <c r="U60" s="24">
        <f t="shared" si="32"/>
        <v>30</v>
      </c>
      <c r="V60" s="9">
        <v>10</v>
      </c>
      <c r="W60" s="24">
        <f t="shared" si="34"/>
        <v>10</v>
      </c>
      <c r="X60" s="48">
        <f t="shared" si="21"/>
        <v>0.9877814448393869</v>
      </c>
    </row>
    <row r="61" spans="1:24" ht="12.75">
      <c r="A61" s="28">
        <v>52</v>
      </c>
      <c r="B61" s="11" t="s">
        <v>45</v>
      </c>
      <c r="C61" s="7"/>
      <c r="D61" s="19">
        <f>'[1]А-4'!$F$67</f>
        <v>0</v>
      </c>
      <c r="E61" s="94">
        <f>'[1]Норматив и фактически 2017'!$F$66</f>
        <v>245.077</v>
      </c>
      <c r="F61" s="112">
        <f t="shared" si="22"/>
        <v>157.97553786481552</v>
      </c>
      <c r="G61" s="70">
        <f t="shared" si="23"/>
        <v>130.62997226041594</v>
      </c>
      <c r="H61" s="70">
        <f t="shared" si="24"/>
        <v>27.345565604399567</v>
      </c>
      <c r="I61" s="26">
        <f t="shared" si="25"/>
        <v>0</v>
      </c>
      <c r="J61" s="19">
        <f>'[1]А-4'!G67</f>
        <v>0</v>
      </c>
      <c r="K61" s="26">
        <f>'[1]А-4'!$H$67</f>
        <v>0</v>
      </c>
      <c r="L61" s="26">
        <f>'[1]А-4'!$R$67</f>
        <v>0</v>
      </c>
      <c r="M61" s="26">
        <f>'[1]А-4'!$AD$67</f>
        <v>0</v>
      </c>
      <c r="N61" s="21"/>
      <c r="O61" s="21"/>
      <c r="P61" s="26">
        <f t="shared" si="30"/>
        <v>0</v>
      </c>
      <c r="Q61" s="26">
        <f t="shared" si="31"/>
        <v>0</v>
      </c>
      <c r="R61" s="22">
        <f t="shared" si="26"/>
        <v>0</v>
      </c>
      <c r="S61" s="22">
        <f t="shared" si="27"/>
        <v>0</v>
      </c>
      <c r="T61" s="16">
        <f t="shared" si="28"/>
        <v>0</v>
      </c>
      <c r="U61" s="24">
        <f t="shared" si="32"/>
        <v>0</v>
      </c>
      <c r="V61" s="7">
        <v>20</v>
      </c>
      <c r="W61" s="24">
        <f t="shared" si="34"/>
        <v>0</v>
      </c>
      <c r="X61" s="48">
        <f t="shared" si="21"/>
        <v>0</v>
      </c>
    </row>
    <row r="62" spans="1:24" s="27" customFormat="1" ht="14.25" customHeight="1">
      <c r="A62" s="28">
        <v>53</v>
      </c>
      <c r="B62" s="204" t="s">
        <v>133</v>
      </c>
      <c r="C62" s="205"/>
      <c r="D62" s="18">
        <f>'[1]А-4'!$F$68</f>
        <v>3</v>
      </c>
      <c r="E62" s="95">
        <f>'[1]Норматив и фактически 2017'!$F$67</f>
        <v>303.961</v>
      </c>
      <c r="F62" s="112">
        <f t="shared" si="22"/>
        <v>195.93190085127202</v>
      </c>
      <c r="G62" s="70">
        <f t="shared" si="23"/>
        <v>162.01608881391684</v>
      </c>
      <c r="H62" s="70">
        <f t="shared" si="24"/>
        <v>33.91581203735519</v>
      </c>
      <c r="I62" s="26">
        <f t="shared" si="25"/>
        <v>33.5</v>
      </c>
      <c r="J62" s="19">
        <f>'[1]А-4'!G68</f>
        <v>33.5</v>
      </c>
      <c r="K62" s="26">
        <f>'[1]А-4'!$H$68</f>
        <v>0</v>
      </c>
      <c r="L62" s="26">
        <f>'[1]А-4'!$R$68</f>
        <v>19</v>
      </c>
      <c r="M62" s="26">
        <f>'[1]А-4'!$AD$68</f>
        <v>0</v>
      </c>
      <c r="N62" s="21">
        <f t="shared" si="29"/>
        <v>5.6716417910447765</v>
      </c>
      <c r="O62" s="21"/>
      <c r="P62" s="26">
        <f t="shared" si="30"/>
        <v>2</v>
      </c>
      <c r="Q62" s="26">
        <f t="shared" si="31"/>
        <v>0</v>
      </c>
      <c r="R62" s="22">
        <f t="shared" si="26"/>
        <v>324</v>
      </c>
      <c r="S62" s="22">
        <f t="shared" si="27"/>
        <v>0</v>
      </c>
      <c r="T62" s="16">
        <f t="shared" si="28"/>
        <v>324</v>
      </c>
      <c r="U62" s="24">
        <f t="shared" si="32"/>
        <v>58</v>
      </c>
      <c r="V62" s="9">
        <v>0</v>
      </c>
      <c r="W62" s="24">
        <f t="shared" si="34"/>
        <v>0</v>
      </c>
      <c r="X62" s="48">
        <f t="shared" si="21"/>
        <v>1.653635771369063</v>
      </c>
    </row>
    <row r="63" spans="1:24" ht="12.75">
      <c r="A63" s="28">
        <v>54</v>
      </c>
      <c r="B63" s="204" t="s">
        <v>134</v>
      </c>
      <c r="C63" s="205"/>
      <c r="D63" s="18">
        <f>'[1]А-4'!$F$69</f>
        <v>2</v>
      </c>
      <c r="E63" s="105">
        <f>'[1]Норматив и фактически 2017'!$F$68</f>
        <v>54.1614</v>
      </c>
      <c r="F63" s="113">
        <f t="shared" si="22"/>
        <v>34.91219615268434</v>
      </c>
      <c r="G63" s="106">
        <f t="shared" si="23"/>
        <v>28.868894998654678</v>
      </c>
      <c r="H63" s="106">
        <f t="shared" si="24"/>
        <v>6.043301154029659</v>
      </c>
      <c r="I63" s="26">
        <f t="shared" si="25"/>
        <v>23.1</v>
      </c>
      <c r="J63" s="19">
        <f>'[1]А-4'!G69</f>
        <v>23.1</v>
      </c>
      <c r="K63" s="26">
        <f>'[1]А-4'!$H$69</f>
        <v>0</v>
      </c>
      <c r="L63" s="26">
        <f>'[1]А-4'!$R$69</f>
        <v>30</v>
      </c>
      <c r="M63" s="26">
        <f>'[1]А-4'!$AD$69</f>
        <v>0</v>
      </c>
      <c r="N63" s="21">
        <f t="shared" si="29"/>
        <v>12.987012987012987</v>
      </c>
      <c r="O63" s="21"/>
      <c r="P63" s="26">
        <f t="shared" si="30"/>
        <v>4.5</v>
      </c>
      <c r="Q63" s="26">
        <f t="shared" si="31"/>
        <v>0</v>
      </c>
      <c r="R63" s="22">
        <f t="shared" si="26"/>
        <v>129</v>
      </c>
      <c r="S63" s="22">
        <f t="shared" si="27"/>
        <v>0</v>
      </c>
      <c r="T63" s="16">
        <f t="shared" si="28"/>
        <v>129</v>
      </c>
      <c r="U63" s="24">
        <f t="shared" si="32"/>
        <v>23</v>
      </c>
      <c r="V63" s="139">
        <v>0</v>
      </c>
      <c r="W63" s="24">
        <f t="shared" si="34"/>
        <v>0</v>
      </c>
      <c r="X63" s="48">
        <f t="shared" si="21"/>
        <v>3.694983822725842</v>
      </c>
    </row>
    <row r="64" spans="1:24" ht="12.75">
      <c r="A64" s="28">
        <v>55</v>
      </c>
      <c r="B64" s="30" t="s">
        <v>63</v>
      </c>
      <c r="C64" s="31"/>
      <c r="D64" s="18">
        <f>'[1]А-4'!$F$70</f>
        <v>9</v>
      </c>
      <c r="E64" s="95">
        <f>'[1]Норматив и фактически 2017'!$F$69</f>
        <v>500.249</v>
      </c>
      <c r="F64" s="112">
        <f t="shared" si="22"/>
        <v>322.45826757033956</v>
      </c>
      <c r="G64" s="70">
        <f t="shared" si="23"/>
        <v>266.6407414539138</v>
      </c>
      <c r="H64" s="70">
        <f t="shared" si="24"/>
        <v>55.81752611642578</v>
      </c>
      <c r="I64" s="26">
        <f t="shared" si="25"/>
        <v>91.1</v>
      </c>
      <c r="J64" s="19">
        <f>'[1]А-4'!G70</f>
        <v>78.6</v>
      </c>
      <c r="K64" s="26">
        <f>'[1]А-4'!$H$70</f>
        <v>12.5</v>
      </c>
      <c r="L64" s="26">
        <f>'[1]А-4'!$R$70</f>
        <v>0</v>
      </c>
      <c r="M64" s="26">
        <f>'[1]А-4'!$AD$70</f>
        <v>0</v>
      </c>
      <c r="N64" s="21">
        <f t="shared" si="29"/>
        <v>0</v>
      </c>
      <c r="O64" s="21">
        <f t="shared" si="33"/>
        <v>0</v>
      </c>
      <c r="P64" s="26">
        <f t="shared" si="30"/>
        <v>0</v>
      </c>
      <c r="Q64" s="26">
        <f t="shared" si="31"/>
        <v>0</v>
      </c>
      <c r="R64" s="22">
        <f t="shared" si="26"/>
        <v>0</v>
      </c>
      <c r="S64" s="22">
        <f t="shared" si="27"/>
        <v>0</v>
      </c>
      <c r="T64" s="16">
        <f t="shared" si="28"/>
        <v>0</v>
      </c>
      <c r="U64" s="24">
        <f t="shared" si="32"/>
        <v>0</v>
      </c>
      <c r="V64" s="9">
        <v>10</v>
      </c>
      <c r="W64" s="24">
        <f t="shared" si="34"/>
        <v>0</v>
      </c>
      <c r="X64" s="48">
        <f t="shared" si="21"/>
        <v>0</v>
      </c>
    </row>
    <row r="65" spans="1:24" ht="12.75">
      <c r="A65" s="28">
        <v>56</v>
      </c>
      <c r="B65" s="33" t="s">
        <v>29</v>
      </c>
      <c r="C65" s="38"/>
      <c r="D65" s="18">
        <f>'[1]А-4'!$F$71</f>
        <v>28</v>
      </c>
      <c r="E65" s="92">
        <f>'[1]Норматив и фактически 2017'!$F$70</f>
        <v>2181.5546</v>
      </c>
      <c r="F65" s="112">
        <f t="shared" si="22"/>
        <v>1406.2203361248198</v>
      </c>
      <c r="G65" s="70">
        <f t="shared" si="23"/>
        <v>1162.8035959416134</v>
      </c>
      <c r="H65" s="70">
        <f t="shared" si="24"/>
        <v>243.41674018320631</v>
      </c>
      <c r="I65" s="26">
        <f t="shared" si="25"/>
        <v>302.99999999999994</v>
      </c>
      <c r="J65" s="19">
        <f>'[1]А-4'!G71</f>
        <v>298.49999999999994</v>
      </c>
      <c r="K65" s="26">
        <f>'[1]А-4'!$H$71</f>
        <v>4.5</v>
      </c>
      <c r="L65" s="26">
        <f>'[1]А-4'!$R$71</f>
        <v>267</v>
      </c>
      <c r="M65" s="26">
        <f>'[1]А-4'!$AD$71</f>
        <v>0</v>
      </c>
      <c r="N65" s="21">
        <f t="shared" si="29"/>
        <v>8.944723618090453</v>
      </c>
      <c r="O65" s="21">
        <f t="shared" si="33"/>
        <v>0</v>
      </c>
      <c r="P65" s="26">
        <f t="shared" si="30"/>
        <v>3.1</v>
      </c>
      <c r="Q65" s="26">
        <f t="shared" si="31"/>
        <v>0</v>
      </c>
      <c r="R65" s="22">
        <f t="shared" si="26"/>
        <v>3604</v>
      </c>
      <c r="S65" s="22">
        <f t="shared" si="27"/>
        <v>0</v>
      </c>
      <c r="T65" s="16">
        <f t="shared" si="28"/>
        <v>3604</v>
      </c>
      <c r="U65" s="24">
        <f t="shared" si="32"/>
        <v>648</v>
      </c>
      <c r="V65" s="9"/>
      <c r="W65" s="24">
        <f>U65</f>
        <v>648</v>
      </c>
      <c r="X65" s="48">
        <f t="shared" si="21"/>
        <v>2.562898507023226</v>
      </c>
    </row>
    <row r="66" spans="1:24" ht="12.75">
      <c r="A66" s="28">
        <v>57</v>
      </c>
      <c r="B66" s="90"/>
      <c r="C66" s="103"/>
      <c r="D66" s="18"/>
      <c r="E66" s="92"/>
      <c r="F66" s="112"/>
      <c r="G66" s="70"/>
      <c r="H66" s="70"/>
      <c r="I66" s="26"/>
      <c r="J66" s="19"/>
      <c r="K66" s="26"/>
      <c r="L66" s="26"/>
      <c r="M66" s="26"/>
      <c r="N66" s="21"/>
      <c r="O66" s="21"/>
      <c r="P66" s="26"/>
      <c r="Q66" s="26"/>
      <c r="R66" s="22"/>
      <c r="S66" s="22"/>
      <c r="T66" s="16"/>
      <c r="U66" s="24"/>
      <c r="V66" s="9"/>
      <c r="W66" s="24"/>
      <c r="X66" s="48"/>
    </row>
    <row r="67" spans="1:24" ht="12.75">
      <c r="A67" s="28">
        <v>58</v>
      </c>
      <c r="B67" s="90"/>
      <c r="C67" s="103"/>
      <c r="D67" s="18"/>
      <c r="E67" s="92"/>
      <c r="F67" s="112"/>
      <c r="G67" s="70"/>
      <c r="H67" s="70"/>
      <c r="I67" s="26"/>
      <c r="J67" s="19"/>
      <c r="K67" s="26"/>
      <c r="L67" s="26"/>
      <c r="M67" s="26"/>
      <c r="N67" s="21"/>
      <c r="O67" s="21"/>
      <c r="P67" s="26"/>
      <c r="Q67" s="26"/>
      <c r="R67" s="22"/>
      <c r="S67" s="22"/>
      <c r="T67" s="16"/>
      <c r="U67" s="24"/>
      <c r="V67" s="9"/>
      <c r="W67" s="24"/>
      <c r="X67" s="48"/>
    </row>
    <row r="68" spans="1:24" ht="12.75">
      <c r="A68" s="28">
        <v>59</v>
      </c>
      <c r="B68" s="90"/>
      <c r="C68" s="103"/>
      <c r="D68" s="18"/>
      <c r="E68" s="92"/>
      <c r="F68" s="112"/>
      <c r="G68" s="70"/>
      <c r="H68" s="70"/>
      <c r="I68" s="26"/>
      <c r="J68" s="19"/>
      <c r="K68" s="26"/>
      <c r="L68" s="26"/>
      <c r="M68" s="26"/>
      <c r="N68" s="21"/>
      <c r="O68" s="21"/>
      <c r="P68" s="26"/>
      <c r="Q68" s="26"/>
      <c r="R68" s="22"/>
      <c r="S68" s="22"/>
      <c r="T68" s="16"/>
      <c r="U68" s="24"/>
      <c r="V68" s="9"/>
      <c r="W68" s="24"/>
      <c r="X68" s="48"/>
    </row>
    <row r="69" spans="1:24" ht="12.75">
      <c r="A69" s="28">
        <v>60</v>
      </c>
      <c r="B69" s="90"/>
      <c r="C69" s="103"/>
      <c r="D69" s="18"/>
      <c r="E69" s="92"/>
      <c r="F69" s="112"/>
      <c r="G69" s="70"/>
      <c r="H69" s="70"/>
      <c r="I69" s="26"/>
      <c r="J69" s="19"/>
      <c r="K69" s="26"/>
      <c r="L69" s="26"/>
      <c r="M69" s="26"/>
      <c r="N69" s="21"/>
      <c r="O69" s="21"/>
      <c r="P69" s="26"/>
      <c r="Q69" s="26"/>
      <c r="R69" s="22"/>
      <c r="S69" s="22"/>
      <c r="T69" s="16"/>
      <c r="U69" s="24"/>
      <c r="V69" s="9"/>
      <c r="W69" s="24"/>
      <c r="X69" s="48"/>
    </row>
    <row r="70" spans="1:24" ht="12.75">
      <c r="A70" s="28">
        <v>61</v>
      </c>
      <c r="B70" s="90"/>
      <c r="C70" s="103"/>
      <c r="D70" s="18"/>
      <c r="E70" s="92"/>
      <c r="F70" s="112"/>
      <c r="G70" s="70"/>
      <c r="H70" s="70"/>
      <c r="I70" s="26"/>
      <c r="J70" s="19"/>
      <c r="K70" s="26"/>
      <c r="L70" s="26"/>
      <c r="M70" s="26"/>
      <c r="N70" s="21"/>
      <c r="O70" s="21"/>
      <c r="P70" s="26"/>
      <c r="Q70" s="26"/>
      <c r="R70" s="22"/>
      <c r="S70" s="22"/>
      <c r="T70" s="16"/>
      <c r="U70" s="24"/>
      <c r="V70" s="9"/>
      <c r="W70" s="24"/>
      <c r="X70" s="48"/>
    </row>
    <row r="71" spans="1:30" ht="31.5" customHeight="1">
      <c r="A71" s="9"/>
      <c r="B71" s="210" t="s">
        <v>89</v>
      </c>
      <c r="C71" s="178"/>
      <c r="D71" s="78">
        <f aca="true" t="shared" si="35" ref="D71:M71">SUM(D72:D88)</f>
        <v>90</v>
      </c>
      <c r="E71" s="99">
        <f t="shared" si="35"/>
        <v>9060.788999999999</v>
      </c>
      <c r="F71" s="99">
        <f t="shared" si="35"/>
        <v>7001.000000000001</v>
      </c>
      <c r="G71" s="79">
        <f t="shared" si="35"/>
        <v>4491.841600000001</v>
      </c>
      <c r="H71" s="79">
        <f t="shared" si="35"/>
        <v>2509.1584000000007</v>
      </c>
      <c r="I71" s="79">
        <f t="shared" si="35"/>
        <v>947.5299999999999</v>
      </c>
      <c r="J71" s="79">
        <f t="shared" si="35"/>
        <v>569.24</v>
      </c>
      <c r="K71" s="79">
        <f t="shared" si="35"/>
        <v>378.28999999999996</v>
      </c>
      <c r="L71" s="79">
        <f t="shared" si="35"/>
        <v>108</v>
      </c>
      <c r="M71" s="79">
        <f t="shared" si="35"/>
        <v>113</v>
      </c>
      <c r="N71" s="74">
        <f>ROUND(L71/J71*10,2)</f>
        <v>1.9</v>
      </c>
      <c r="O71" s="74">
        <f>ROUND(M71/K71*10,3)</f>
        <v>2.987</v>
      </c>
      <c r="P71" s="76">
        <f aca="true" t="shared" si="36" ref="P71:Q78">ROUND(N71*$M$5,1)</f>
        <v>0.7</v>
      </c>
      <c r="Q71" s="76">
        <f t="shared" si="36"/>
        <v>1</v>
      </c>
      <c r="R71" s="79">
        <f aca="true" t="shared" si="37" ref="R71:W71">SUM(R72:R88)</f>
        <v>3208</v>
      </c>
      <c r="S71" s="79">
        <f t="shared" si="37"/>
        <v>1856</v>
      </c>
      <c r="T71" s="79">
        <f t="shared" si="37"/>
        <v>5064</v>
      </c>
      <c r="U71" s="79">
        <f t="shared" si="37"/>
        <v>825</v>
      </c>
      <c r="V71" s="79">
        <f t="shared" si="37"/>
        <v>111</v>
      </c>
      <c r="W71" s="79">
        <f t="shared" si="37"/>
        <v>519</v>
      </c>
      <c r="X71" s="48">
        <f aca="true" t="shared" si="38" ref="X71:X78">T71/F71</f>
        <v>0.7233252392515354</v>
      </c>
      <c r="Y71" s="50">
        <f>7001/E71</f>
        <v>0.7726700180304388</v>
      </c>
      <c r="AB71">
        <v>9221</v>
      </c>
      <c r="AD71" s="20">
        <f>AB71-T71</f>
        <v>4157</v>
      </c>
    </row>
    <row r="72" spans="1:24" ht="12.75">
      <c r="A72" s="28">
        <v>62</v>
      </c>
      <c r="B72" s="15" t="s">
        <v>100</v>
      </c>
      <c r="C72" s="9"/>
      <c r="D72" s="18">
        <f>'[1]А-4'!$F$83</f>
        <v>1</v>
      </c>
      <c r="E72" s="92">
        <f>'[1]Норматив и фактически 2017'!$F$77</f>
        <v>225</v>
      </c>
      <c r="F72" s="112">
        <f aca="true" t="shared" si="39" ref="F72:F85">E72*$Y$71</f>
        <v>173.85075405684873</v>
      </c>
      <c r="G72" s="70">
        <f aca="true" t="shared" si="40" ref="G72:G85">F72*0.6416</f>
        <v>111.54264380287414</v>
      </c>
      <c r="H72" s="70">
        <f aca="true" t="shared" si="41" ref="H72:H85">F72*0.3584</f>
        <v>62.30811025397458</v>
      </c>
      <c r="I72" s="26">
        <f aca="true" t="shared" si="42" ref="I72:I85">J72+K72</f>
        <v>10</v>
      </c>
      <c r="J72" s="19">
        <f>'[1]А-4'!G83</f>
        <v>10</v>
      </c>
      <c r="K72" s="26">
        <f>'[1]А-4'!$H$83</f>
        <v>0</v>
      </c>
      <c r="L72" s="26">
        <f>'[1]А-4'!$R$83</f>
        <v>0</v>
      </c>
      <c r="M72" s="21">
        <f>'[1]А-4'!$AD$83</f>
        <v>0</v>
      </c>
      <c r="N72" s="21">
        <f>L72*10/J72</f>
        <v>0</v>
      </c>
      <c r="O72" s="21"/>
      <c r="P72" s="26">
        <f t="shared" si="36"/>
        <v>0</v>
      </c>
      <c r="Q72" s="26">
        <f t="shared" si="36"/>
        <v>0</v>
      </c>
      <c r="R72" s="22">
        <f aca="true" t="shared" si="43" ref="R72:R85">ROUNDDOWN((P72*G72),0)</f>
        <v>0</v>
      </c>
      <c r="S72" s="22">
        <f aca="true" t="shared" si="44" ref="S72:S85">ROUNDDOWN((Q72*H72),0)</f>
        <v>0</v>
      </c>
      <c r="T72" s="16">
        <f aca="true" t="shared" si="45" ref="T72:T85">R72+S72</f>
        <v>0</v>
      </c>
      <c r="U72" s="24">
        <f>ROUNDDOWN(IF(T72&lt;$O$3,"0",T72*18/100),0)</f>
        <v>0</v>
      </c>
      <c r="V72" s="9">
        <v>8</v>
      </c>
      <c r="W72" s="24">
        <f aca="true" t="shared" si="46" ref="W72:W80">IF(V72&lt;=U72,V72,U72)</f>
        <v>0</v>
      </c>
      <c r="X72" s="48">
        <f t="shared" si="38"/>
        <v>0</v>
      </c>
    </row>
    <row r="73" spans="1:30" ht="12.75">
      <c r="A73" s="28">
        <f aca="true" t="shared" si="47" ref="A73:A88">A72+1</f>
        <v>63</v>
      </c>
      <c r="B73" s="15" t="s">
        <v>101</v>
      </c>
      <c r="C73" s="9"/>
      <c r="D73" s="18">
        <f>'[1]А-4'!$F$84</f>
        <v>7</v>
      </c>
      <c r="E73" s="92">
        <f>'[1]Норматив и фактически 2017'!$F$78</f>
        <v>520</v>
      </c>
      <c r="F73" s="112">
        <f t="shared" si="39"/>
        <v>401.78840937582817</v>
      </c>
      <c r="G73" s="70">
        <f t="shared" si="40"/>
        <v>257.78744345553133</v>
      </c>
      <c r="H73" s="70">
        <f t="shared" si="41"/>
        <v>144.0009659202968</v>
      </c>
      <c r="I73" s="26">
        <f t="shared" si="42"/>
        <v>70</v>
      </c>
      <c r="J73" s="19">
        <f>'[1]А-4'!G84</f>
        <v>70</v>
      </c>
      <c r="K73" s="26">
        <f>'[1]А-4'!$H$84</f>
        <v>0</v>
      </c>
      <c r="L73" s="26">
        <f>'[1]А-4'!$R$84</f>
        <v>0</v>
      </c>
      <c r="M73" s="21">
        <f>'[1]А-4'!$AD$84</f>
        <v>0</v>
      </c>
      <c r="N73" s="21">
        <f>L73*10/J73</f>
        <v>0</v>
      </c>
      <c r="O73" s="21"/>
      <c r="P73" s="26">
        <f t="shared" si="36"/>
        <v>0</v>
      </c>
      <c r="Q73" s="26">
        <f t="shared" si="36"/>
        <v>0</v>
      </c>
      <c r="R73" s="22">
        <f t="shared" si="43"/>
        <v>0</v>
      </c>
      <c r="S73" s="22">
        <f t="shared" si="44"/>
        <v>0</v>
      </c>
      <c r="T73" s="16">
        <f t="shared" si="45"/>
        <v>0</v>
      </c>
      <c r="U73" s="24">
        <f aca="true" t="shared" si="48" ref="U73:U85">ROUNDDOWN(IF(T73&lt;$O$3,"0",T73*18/100),0)</f>
        <v>0</v>
      </c>
      <c r="V73" s="9">
        <v>18</v>
      </c>
      <c r="W73" s="24">
        <f t="shared" si="46"/>
        <v>0</v>
      </c>
      <c r="X73" s="48">
        <f t="shared" si="38"/>
        <v>0</v>
      </c>
      <c r="AD73" s="51">
        <f>9064.2-R71</f>
        <v>5856.200000000001</v>
      </c>
    </row>
    <row r="74" spans="1:24" ht="12.75">
      <c r="A74" s="28">
        <f t="shared" si="47"/>
        <v>64</v>
      </c>
      <c r="B74" s="15" t="s">
        <v>102</v>
      </c>
      <c r="C74" s="9"/>
      <c r="D74" s="18">
        <f>'[1]А-4'!$F$85</f>
        <v>22</v>
      </c>
      <c r="E74" s="92">
        <f>'[1]Норматив и фактически 2017'!$F$79</f>
        <v>2256</v>
      </c>
      <c r="F74" s="112">
        <f t="shared" si="39"/>
        <v>1743.14356067667</v>
      </c>
      <c r="G74" s="70">
        <f t="shared" si="40"/>
        <v>1118.4009085301514</v>
      </c>
      <c r="H74" s="70">
        <f t="shared" si="41"/>
        <v>624.7426521465185</v>
      </c>
      <c r="I74" s="26">
        <f t="shared" si="42"/>
        <v>220</v>
      </c>
      <c r="J74" s="19">
        <f>'[1]А-4'!G85</f>
        <v>186</v>
      </c>
      <c r="K74" s="26">
        <f>'[1]А-4'!$H$85</f>
        <v>34</v>
      </c>
      <c r="L74" s="26">
        <f>'[1]А-4'!$R$85</f>
        <v>17</v>
      </c>
      <c r="M74" s="21">
        <f>'[1]А-4'!$AD$85</f>
        <v>7</v>
      </c>
      <c r="N74" s="21">
        <f>L74*10/J74</f>
        <v>0.9139784946236559</v>
      </c>
      <c r="O74" s="21">
        <f>ROUND(M74/K74*10,3)</f>
        <v>2.059</v>
      </c>
      <c r="P74" s="26">
        <f t="shared" si="36"/>
        <v>0.3</v>
      </c>
      <c r="Q74" s="26">
        <f t="shared" si="36"/>
        <v>0.7</v>
      </c>
      <c r="R74" s="22">
        <f t="shared" si="43"/>
        <v>335</v>
      </c>
      <c r="S74" s="22">
        <f t="shared" si="44"/>
        <v>437</v>
      </c>
      <c r="T74" s="16">
        <f t="shared" si="45"/>
        <v>772</v>
      </c>
      <c r="U74" s="24">
        <f t="shared" si="48"/>
        <v>138</v>
      </c>
      <c r="V74" s="9">
        <v>68</v>
      </c>
      <c r="W74" s="24">
        <f t="shared" si="46"/>
        <v>68</v>
      </c>
      <c r="X74" s="48">
        <f t="shared" si="38"/>
        <v>0.4428780379398687</v>
      </c>
    </row>
    <row r="75" spans="1:24" s="29" customFormat="1" ht="12.75">
      <c r="A75" s="28">
        <f t="shared" si="47"/>
        <v>65</v>
      </c>
      <c r="B75" s="15" t="s">
        <v>103</v>
      </c>
      <c r="C75" s="9"/>
      <c r="D75" s="18">
        <f>'[1]А-4'!$F$86</f>
        <v>4</v>
      </c>
      <c r="E75" s="92">
        <f>'[1]Норматив и фактически 2017'!$F$80</f>
        <v>255.545</v>
      </c>
      <c r="F75" s="112">
        <f t="shared" si="39"/>
        <v>197.45195975758847</v>
      </c>
      <c r="G75" s="70">
        <f t="shared" si="40"/>
        <v>126.68517738046876</v>
      </c>
      <c r="H75" s="70">
        <f t="shared" si="41"/>
        <v>70.76678237711971</v>
      </c>
      <c r="I75" s="26">
        <f t="shared" si="42"/>
        <v>40</v>
      </c>
      <c r="J75" s="19">
        <f>'[1]А-4'!G86</f>
        <v>18</v>
      </c>
      <c r="K75" s="26">
        <f>'[1]А-4'!$H$86</f>
        <v>22</v>
      </c>
      <c r="L75" s="26">
        <f>'[1]А-4'!$R$86</f>
        <v>0</v>
      </c>
      <c r="M75" s="21">
        <f>'[1]А-4'!$AD$86</f>
        <v>0</v>
      </c>
      <c r="N75" s="21">
        <f>L75*10/J75</f>
        <v>0</v>
      </c>
      <c r="O75" s="21">
        <f>ROUND(M75/K75*10,3)</f>
        <v>0</v>
      </c>
      <c r="P75" s="26">
        <f t="shared" si="36"/>
        <v>0</v>
      </c>
      <c r="Q75" s="26">
        <f t="shared" si="36"/>
        <v>0</v>
      </c>
      <c r="R75" s="22">
        <f t="shared" si="43"/>
        <v>0</v>
      </c>
      <c r="S75" s="22">
        <f t="shared" si="44"/>
        <v>0</v>
      </c>
      <c r="T75" s="16">
        <f t="shared" si="45"/>
        <v>0</v>
      </c>
      <c r="U75" s="24">
        <f t="shared" si="48"/>
        <v>0</v>
      </c>
      <c r="V75" s="9">
        <v>13</v>
      </c>
      <c r="W75" s="24">
        <f t="shared" si="46"/>
        <v>0</v>
      </c>
      <c r="X75" s="48">
        <f t="shared" si="38"/>
        <v>0</v>
      </c>
    </row>
    <row r="76" spans="1:36" ht="12.75">
      <c r="A76" s="28">
        <f t="shared" si="47"/>
        <v>66</v>
      </c>
      <c r="B76" s="187" t="s">
        <v>137</v>
      </c>
      <c r="C76" s="188"/>
      <c r="D76" s="18">
        <f>'[1]А-4'!$F$87</f>
        <v>15</v>
      </c>
      <c r="E76" s="92">
        <f>'[1]Норматив и фактически 2017'!$F$81</f>
        <v>1294.273</v>
      </c>
      <c r="F76" s="112">
        <f t="shared" si="39"/>
        <v>1000.04594224631</v>
      </c>
      <c r="G76" s="70">
        <f t="shared" si="40"/>
        <v>641.6294765452325</v>
      </c>
      <c r="H76" s="70">
        <f t="shared" si="41"/>
        <v>358.4164657010775</v>
      </c>
      <c r="I76" s="26">
        <f t="shared" si="42"/>
        <v>156.73</v>
      </c>
      <c r="J76" s="19">
        <f>'[1]А-4'!G87</f>
        <v>62.9</v>
      </c>
      <c r="K76" s="26">
        <f>'[1]А-4'!$H$87</f>
        <v>93.83</v>
      </c>
      <c r="L76" s="26">
        <f>'[1]А-4'!$R$87</f>
        <v>22</v>
      </c>
      <c r="M76" s="21">
        <f>'[1]А-4'!$AD$87</f>
        <v>39</v>
      </c>
      <c r="N76" s="21">
        <f aca="true" t="shared" si="49" ref="N76:N84">L76*10/J76</f>
        <v>3.497615262321145</v>
      </c>
      <c r="O76" s="21">
        <f aca="true" t="shared" si="50" ref="O76:O84">ROUND(M76/K76*10,3)</f>
        <v>4.156</v>
      </c>
      <c r="P76" s="26">
        <f t="shared" si="36"/>
        <v>1.2</v>
      </c>
      <c r="Q76" s="26">
        <f aca="true" t="shared" si="51" ref="Q76:Q85">ROUND(O76*$M$5,1)</f>
        <v>1.5</v>
      </c>
      <c r="R76" s="22">
        <f t="shared" si="43"/>
        <v>769</v>
      </c>
      <c r="S76" s="22">
        <f t="shared" si="44"/>
        <v>537</v>
      </c>
      <c r="T76" s="16">
        <f t="shared" si="45"/>
        <v>1306</v>
      </c>
      <c r="U76" s="24">
        <f t="shared" si="48"/>
        <v>235</v>
      </c>
      <c r="V76" s="9"/>
      <c r="W76" s="24">
        <v>235</v>
      </c>
      <c r="X76" s="48">
        <f t="shared" si="38"/>
        <v>1.3059400021827536</v>
      </c>
      <c r="AJ76" s="52"/>
    </row>
    <row r="77" spans="1:24" ht="12.75">
      <c r="A77" s="28">
        <f t="shared" si="47"/>
        <v>67</v>
      </c>
      <c r="B77" s="8" t="s">
        <v>64</v>
      </c>
      <c r="C77" s="8"/>
      <c r="D77" s="18">
        <f>'[1]А-4'!$F$89</f>
        <v>9</v>
      </c>
      <c r="E77" s="92">
        <f>'[1]Норматив и фактически 2017'!$F$82</f>
        <v>1035</v>
      </c>
      <c r="F77" s="112">
        <f t="shared" si="39"/>
        <v>799.7134686615042</v>
      </c>
      <c r="G77" s="70">
        <f t="shared" si="40"/>
        <v>513.0961614932211</v>
      </c>
      <c r="H77" s="70">
        <f t="shared" si="41"/>
        <v>286.6173071682831</v>
      </c>
      <c r="I77" s="26">
        <f t="shared" si="42"/>
        <v>99.79999999999998</v>
      </c>
      <c r="J77" s="19">
        <f>'[1]А-4'!G89</f>
        <v>10.6</v>
      </c>
      <c r="K77" s="26">
        <f>'[1]А-4'!$H$89</f>
        <v>89.19999999999999</v>
      </c>
      <c r="L77" s="26">
        <f>'[1]А-4'!$R$89</f>
        <v>4</v>
      </c>
      <c r="M77" s="21">
        <f>'[1]А-4'!$AD$89</f>
        <v>33</v>
      </c>
      <c r="N77" s="21">
        <f t="shared" si="49"/>
        <v>3.7735849056603774</v>
      </c>
      <c r="O77" s="21">
        <f t="shared" si="50"/>
        <v>3.7</v>
      </c>
      <c r="P77" s="26">
        <f t="shared" si="36"/>
        <v>1.3</v>
      </c>
      <c r="Q77" s="26">
        <f t="shared" si="51"/>
        <v>1.3</v>
      </c>
      <c r="R77" s="22">
        <f t="shared" si="43"/>
        <v>667</v>
      </c>
      <c r="S77" s="22">
        <f t="shared" si="44"/>
        <v>372</v>
      </c>
      <c r="T77" s="16">
        <f t="shared" si="45"/>
        <v>1039</v>
      </c>
      <c r="U77" s="24">
        <f t="shared" si="48"/>
        <v>187</v>
      </c>
      <c r="V77" s="9"/>
      <c r="W77" s="24">
        <v>187</v>
      </c>
      <c r="X77" s="48">
        <f t="shared" si="38"/>
        <v>1.2992153323852282</v>
      </c>
    </row>
    <row r="78" spans="1:24" ht="12.75">
      <c r="A78" s="28">
        <f t="shared" si="47"/>
        <v>68</v>
      </c>
      <c r="B78" s="80" t="s">
        <v>32</v>
      </c>
      <c r="C78" s="81"/>
      <c r="D78" s="18">
        <f>'[1]А-4'!$F$88</f>
        <v>1</v>
      </c>
      <c r="E78" s="92">
        <f>'[1]Норматив и фактически 2017'!$F$83</f>
        <v>207.569</v>
      </c>
      <c r="F78" s="112">
        <f t="shared" si="39"/>
        <v>160.38234297256014</v>
      </c>
      <c r="G78" s="70">
        <f t="shared" si="40"/>
        <v>102.90131125119457</v>
      </c>
      <c r="H78" s="70">
        <f t="shared" si="41"/>
        <v>57.481031721365554</v>
      </c>
      <c r="I78" s="26">
        <f t="shared" si="42"/>
        <v>10</v>
      </c>
      <c r="J78" s="19">
        <f>'[1]А-4'!G88</f>
        <v>10</v>
      </c>
      <c r="K78" s="26">
        <f>'[1]А-4'!$H$88</f>
        <v>0</v>
      </c>
      <c r="L78" s="26">
        <f>'[1]А-4'!$R$88</f>
        <v>6</v>
      </c>
      <c r="M78" s="21">
        <f>'[1]А-4'!$AD$88</f>
        <v>0</v>
      </c>
      <c r="N78" s="21">
        <f t="shared" si="49"/>
        <v>6</v>
      </c>
      <c r="O78" s="21"/>
      <c r="P78" s="26">
        <f t="shared" si="36"/>
        <v>2.1</v>
      </c>
      <c r="Q78" s="26">
        <f t="shared" si="51"/>
        <v>0</v>
      </c>
      <c r="R78" s="22">
        <f t="shared" si="43"/>
        <v>216</v>
      </c>
      <c r="S78" s="22">
        <f t="shared" si="44"/>
        <v>0</v>
      </c>
      <c r="T78" s="16">
        <f t="shared" si="45"/>
        <v>216</v>
      </c>
      <c r="U78" s="24">
        <f t="shared" si="48"/>
        <v>38</v>
      </c>
      <c r="V78" s="9">
        <v>0</v>
      </c>
      <c r="W78" s="24">
        <f t="shared" si="46"/>
        <v>0</v>
      </c>
      <c r="X78" s="48">
        <f t="shared" si="38"/>
        <v>1.3467816718262777</v>
      </c>
    </row>
    <row r="79" spans="1:28" ht="12.75">
      <c r="A79" s="28">
        <f t="shared" si="47"/>
        <v>69</v>
      </c>
      <c r="B79" s="83" t="s">
        <v>44</v>
      </c>
      <c r="C79" s="84"/>
      <c r="D79" s="18">
        <f>'[1]А-4'!$F$91</f>
        <v>0</v>
      </c>
      <c r="E79" s="92">
        <f>'[1]Норматив и фактически 2017'!$F$84</f>
        <v>684.946</v>
      </c>
      <c r="F79" s="112">
        <f t="shared" si="39"/>
        <v>529.237238169877</v>
      </c>
      <c r="G79" s="70">
        <f t="shared" si="40"/>
        <v>339.558612009793</v>
      </c>
      <c r="H79" s="70">
        <f t="shared" si="41"/>
        <v>189.6786261600839</v>
      </c>
      <c r="I79" s="26">
        <f t="shared" si="42"/>
        <v>0</v>
      </c>
      <c r="J79" s="19">
        <f>'[1]А-4'!G91</f>
        <v>0</v>
      </c>
      <c r="K79" s="26">
        <f>'[1]А-4'!$H$91</f>
        <v>0</v>
      </c>
      <c r="L79" s="26">
        <f>'[1]А-4'!$R$91</f>
        <v>0</v>
      </c>
      <c r="M79" s="21">
        <f>'[1]А-4'!$AD$91</f>
        <v>0</v>
      </c>
      <c r="N79" s="21"/>
      <c r="O79" s="21"/>
      <c r="P79" s="26">
        <f aca="true" t="shared" si="52" ref="P79:P85">ROUND(N79*$M$5,1)</f>
        <v>0</v>
      </c>
      <c r="Q79" s="26">
        <f t="shared" si="51"/>
        <v>0</v>
      </c>
      <c r="R79" s="22">
        <f t="shared" si="43"/>
        <v>0</v>
      </c>
      <c r="S79" s="22">
        <f t="shared" si="44"/>
        <v>0</v>
      </c>
      <c r="T79" s="16">
        <f t="shared" si="45"/>
        <v>0</v>
      </c>
      <c r="U79" s="24">
        <f t="shared" si="48"/>
        <v>0</v>
      </c>
      <c r="V79" s="9">
        <v>0</v>
      </c>
      <c r="W79" s="24">
        <f t="shared" si="46"/>
        <v>0</v>
      </c>
      <c r="X79" s="48">
        <f>T78/F78</f>
        <v>1.3467816718262777</v>
      </c>
      <c r="AB79">
        <f>9064.2-8805</f>
        <v>259.2000000000007</v>
      </c>
    </row>
    <row r="80" spans="1:28" ht="12.75">
      <c r="A80" s="28">
        <f t="shared" si="47"/>
        <v>70</v>
      </c>
      <c r="B80" s="33" t="s">
        <v>31</v>
      </c>
      <c r="C80" s="34"/>
      <c r="D80" s="18">
        <f>'[1]А-4'!$F$95</f>
        <v>1</v>
      </c>
      <c r="E80" s="92">
        <f>'[1]Норматив и фактически 2017'!$F$85</f>
        <v>156.031</v>
      </c>
      <c r="F80" s="112">
        <f t="shared" si="39"/>
        <v>120.5604755833074</v>
      </c>
      <c r="G80" s="70">
        <f t="shared" si="40"/>
        <v>77.35160113425002</v>
      </c>
      <c r="H80" s="70">
        <f t="shared" si="41"/>
        <v>43.20887444905737</v>
      </c>
      <c r="I80" s="26">
        <f t="shared" si="42"/>
        <v>11.8</v>
      </c>
      <c r="J80" s="19">
        <f>'[1]А-4'!G95</f>
        <v>7.8</v>
      </c>
      <c r="K80" s="26">
        <f>'[1]А-4'!$H$95</f>
        <v>4</v>
      </c>
      <c r="L80" s="26">
        <f>'[1]А-4'!$R$95</f>
        <v>5</v>
      </c>
      <c r="M80" s="21">
        <f>'[1]А-4'!$AD$95</f>
        <v>0</v>
      </c>
      <c r="N80" s="21">
        <f t="shared" si="49"/>
        <v>6.410256410256411</v>
      </c>
      <c r="O80" s="21">
        <f t="shared" si="50"/>
        <v>0</v>
      </c>
      <c r="P80" s="26">
        <f t="shared" si="52"/>
        <v>2.2</v>
      </c>
      <c r="Q80" s="26">
        <f t="shared" si="51"/>
        <v>0</v>
      </c>
      <c r="R80" s="22">
        <f t="shared" si="43"/>
        <v>170</v>
      </c>
      <c r="S80" s="22">
        <f t="shared" si="44"/>
        <v>0</v>
      </c>
      <c r="T80" s="16">
        <f t="shared" si="45"/>
        <v>170</v>
      </c>
      <c r="U80" s="24">
        <f t="shared" si="48"/>
        <v>30</v>
      </c>
      <c r="V80" s="9">
        <v>4</v>
      </c>
      <c r="W80" s="24">
        <f t="shared" si="46"/>
        <v>4</v>
      </c>
      <c r="X80" s="48">
        <f aca="true" t="shared" si="53" ref="X80:X85">T80/F80</f>
        <v>1.410080701635337</v>
      </c>
      <c r="AB80">
        <f>178+AB79</f>
        <v>437.2000000000007</v>
      </c>
    </row>
    <row r="81" spans="1:24" ht="12.75">
      <c r="A81" s="28">
        <f t="shared" si="47"/>
        <v>71</v>
      </c>
      <c r="B81" s="187" t="s">
        <v>138</v>
      </c>
      <c r="C81" s="188"/>
      <c r="D81" s="18">
        <f>'[1]А-4'!$F$90</f>
        <v>8</v>
      </c>
      <c r="E81" s="92">
        <f>'[1]Норматив и фактически 2017'!$F$86</f>
        <v>609.2</v>
      </c>
      <c r="F81" s="112">
        <f t="shared" si="39"/>
        <v>470.71057498414336</v>
      </c>
      <c r="G81" s="70">
        <f t="shared" si="40"/>
        <v>302.0079049098264</v>
      </c>
      <c r="H81" s="70">
        <f t="shared" si="41"/>
        <v>168.70267007431698</v>
      </c>
      <c r="I81" s="26">
        <f t="shared" si="42"/>
        <v>88.5</v>
      </c>
      <c r="J81" s="19">
        <f>'[1]А-4'!G90</f>
        <v>50.1</v>
      </c>
      <c r="K81" s="26">
        <f>'[1]А-4'!$H$90</f>
        <v>38.400000000000006</v>
      </c>
      <c r="L81" s="26">
        <f>'[1]А-4'!$R$90</f>
        <v>5</v>
      </c>
      <c r="M81" s="21">
        <f>'[1]А-4'!$AD$90</f>
        <v>3</v>
      </c>
      <c r="N81" s="21">
        <f t="shared" si="49"/>
        <v>0.998003992015968</v>
      </c>
      <c r="O81" s="21">
        <f t="shared" si="50"/>
        <v>0.781</v>
      </c>
      <c r="P81" s="26">
        <f t="shared" si="52"/>
        <v>0.3</v>
      </c>
      <c r="Q81" s="26">
        <f t="shared" si="51"/>
        <v>0.3</v>
      </c>
      <c r="R81" s="22">
        <f t="shared" si="43"/>
        <v>90</v>
      </c>
      <c r="S81" s="22">
        <f t="shared" si="44"/>
        <v>50</v>
      </c>
      <c r="T81" s="16">
        <f t="shared" si="45"/>
        <v>140</v>
      </c>
      <c r="U81" s="24">
        <f t="shared" si="48"/>
        <v>25</v>
      </c>
      <c r="V81" s="9"/>
      <c r="W81" s="24">
        <f>U81</f>
        <v>25</v>
      </c>
      <c r="X81" s="48">
        <f t="shared" si="53"/>
        <v>0.29742267847863013</v>
      </c>
    </row>
    <row r="82" spans="1:24" ht="12.75">
      <c r="A82" s="28">
        <f t="shared" si="47"/>
        <v>72</v>
      </c>
      <c r="B82" s="42" t="s">
        <v>136</v>
      </c>
      <c r="C82" s="43"/>
      <c r="D82" s="18">
        <f>'[1]А-4'!$F$92</f>
        <v>7</v>
      </c>
      <c r="E82" s="92">
        <f>'[1]Норматив и фактически 2017'!$F$87</f>
        <v>555</v>
      </c>
      <c r="F82" s="112">
        <f t="shared" si="39"/>
        <v>428.8318600068935</v>
      </c>
      <c r="G82" s="70">
        <f t="shared" si="40"/>
        <v>275.13852138042284</v>
      </c>
      <c r="H82" s="70">
        <f t="shared" si="41"/>
        <v>153.69333862647065</v>
      </c>
      <c r="I82" s="26">
        <f t="shared" si="42"/>
        <v>74.4</v>
      </c>
      <c r="J82" s="19">
        <f>'[1]А-4'!G92</f>
        <v>42.04</v>
      </c>
      <c r="K82" s="26">
        <f>'[1]А-4'!$H$92</f>
        <v>32.36</v>
      </c>
      <c r="L82" s="26">
        <f>'[1]А-4'!$R$92</f>
        <v>0</v>
      </c>
      <c r="M82" s="21">
        <f>'[1]А-4'!$AD$92</f>
        <v>0</v>
      </c>
      <c r="N82" s="21">
        <f t="shared" si="49"/>
        <v>0</v>
      </c>
      <c r="O82" s="21">
        <f t="shared" si="50"/>
        <v>0</v>
      </c>
      <c r="P82" s="26">
        <f t="shared" si="52"/>
        <v>0</v>
      </c>
      <c r="Q82" s="26">
        <f t="shared" si="51"/>
        <v>0</v>
      </c>
      <c r="R82" s="22">
        <f t="shared" si="43"/>
        <v>0</v>
      </c>
      <c r="S82" s="22">
        <f t="shared" si="44"/>
        <v>0</v>
      </c>
      <c r="T82" s="16">
        <f t="shared" si="45"/>
        <v>0</v>
      </c>
      <c r="U82" s="24">
        <f t="shared" si="48"/>
        <v>0</v>
      </c>
      <c r="V82" s="9"/>
      <c r="W82" s="24">
        <f>U82</f>
        <v>0</v>
      </c>
      <c r="X82" s="48">
        <f t="shared" si="53"/>
        <v>0</v>
      </c>
    </row>
    <row r="83" spans="1:24" ht="12.75">
      <c r="A83" s="28">
        <f t="shared" si="47"/>
        <v>73</v>
      </c>
      <c r="B83" s="187" t="s">
        <v>135</v>
      </c>
      <c r="C83" s="188"/>
      <c r="D83" s="18">
        <f>'[1]А-4'!$F$93</f>
        <v>2</v>
      </c>
      <c r="E83" s="92">
        <f>'[1]Норматив и фактически 2017'!$F$88</f>
        <v>235.4</v>
      </c>
      <c r="F83" s="112">
        <f t="shared" si="39"/>
        <v>181.8865222443653</v>
      </c>
      <c r="G83" s="70">
        <f t="shared" si="40"/>
        <v>116.69839267198476</v>
      </c>
      <c r="H83" s="70">
        <f t="shared" si="41"/>
        <v>65.18812957238052</v>
      </c>
      <c r="I83" s="26">
        <f t="shared" si="42"/>
        <v>21.200000000000003</v>
      </c>
      <c r="J83" s="19">
        <f>'[1]А-4'!G93</f>
        <v>10.9</v>
      </c>
      <c r="K83" s="26">
        <f>'[1]А-4'!$H$93</f>
        <v>10.3</v>
      </c>
      <c r="L83" s="26">
        <f>'[1]А-4'!$R$93</f>
        <v>0</v>
      </c>
      <c r="M83" s="21">
        <f>'[1]А-4'!$AD$93</f>
        <v>0</v>
      </c>
      <c r="N83" s="21">
        <f t="shared" si="49"/>
        <v>0</v>
      </c>
      <c r="O83" s="21">
        <f t="shared" si="50"/>
        <v>0</v>
      </c>
      <c r="P83" s="26">
        <f t="shared" si="52"/>
        <v>0</v>
      </c>
      <c r="Q83" s="26">
        <f t="shared" si="51"/>
        <v>0</v>
      </c>
      <c r="R83" s="22">
        <f t="shared" si="43"/>
        <v>0</v>
      </c>
      <c r="S83" s="22">
        <f t="shared" si="44"/>
        <v>0</v>
      </c>
      <c r="T83" s="16">
        <f t="shared" si="45"/>
        <v>0</v>
      </c>
      <c r="U83" s="24">
        <f t="shared" si="48"/>
        <v>0</v>
      </c>
      <c r="V83" s="9"/>
      <c r="W83" s="24">
        <f>U83</f>
        <v>0</v>
      </c>
      <c r="X83" s="48">
        <f t="shared" si="53"/>
        <v>0</v>
      </c>
    </row>
    <row r="84" spans="1:24" ht="12.75">
      <c r="A84" s="28">
        <f t="shared" si="47"/>
        <v>74</v>
      </c>
      <c r="B84" s="135" t="s">
        <v>17</v>
      </c>
      <c r="C84" s="136"/>
      <c r="D84" s="125">
        <f>'[1]А-4'!$F$94</f>
        <v>6</v>
      </c>
      <c r="E84" s="134">
        <f>'[1]Норматив и фактически 2017'!$F$89</f>
        <v>526.4</v>
      </c>
      <c r="F84" s="127">
        <f t="shared" si="39"/>
        <v>406.733497491223</v>
      </c>
      <c r="G84" s="128">
        <f t="shared" si="40"/>
        <v>260.96021199036863</v>
      </c>
      <c r="H84" s="128">
        <f t="shared" si="41"/>
        <v>145.7732855008543</v>
      </c>
      <c r="I84" s="129">
        <f t="shared" si="42"/>
        <v>68.3</v>
      </c>
      <c r="J84" s="125">
        <f>'[1]А-4'!G94</f>
        <v>49.099999999999994</v>
      </c>
      <c r="K84" s="129">
        <f>'[1]А-4'!$H$94</f>
        <v>19.2</v>
      </c>
      <c r="L84" s="129">
        <f>'[1]А-4'!$R$94</f>
        <v>21</v>
      </c>
      <c r="M84" s="130">
        <f>'[1]А-4'!$AD$94</f>
        <v>3</v>
      </c>
      <c r="N84" s="130">
        <f t="shared" si="49"/>
        <v>4.276985743380856</v>
      </c>
      <c r="O84" s="130">
        <f t="shared" si="50"/>
        <v>1.563</v>
      </c>
      <c r="P84" s="129">
        <f t="shared" si="52"/>
        <v>1.5</v>
      </c>
      <c r="Q84" s="129">
        <f t="shared" si="51"/>
        <v>0.5</v>
      </c>
      <c r="R84" s="131">
        <f t="shared" si="43"/>
        <v>391</v>
      </c>
      <c r="S84" s="131">
        <f t="shared" si="44"/>
        <v>72</v>
      </c>
      <c r="T84" s="131">
        <f t="shared" si="45"/>
        <v>463</v>
      </c>
      <c r="U84" s="132"/>
      <c r="V84" s="133"/>
      <c r="W84" s="132">
        <f>IF(V84&lt;=U84,V84,U84)</f>
        <v>0</v>
      </c>
      <c r="X84" s="48">
        <f t="shared" si="53"/>
        <v>1.1383375179468498</v>
      </c>
    </row>
    <row r="85" spans="1:24" ht="12.75">
      <c r="A85" s="28">
        <f t="shared" si="47"/>
        <v>75</v>
      </c>
      <c r="B85" s="42" t="s">
        <v>65</v>
      </c>
      <c r="C85" s="43"/>
      <c r="D85" s="18">
        <f>'[1]А-4'!$F$96</f>
        <v>7</v>
      </c>
      <c r="E85" s="92">
        <f>'[1]Норматив и фактически 2017'!$F$90</f>
        <v>500.425</v>
      </c>
      <c r="F85" s="112">
        <f t="shared" si="39"/>
        <v>386.66339377288233</v>
      </c>
      <c r="G85" s="70">
        <f t="shared" si="40"/>
        <v>248.08323344468127</v>
      </c>
      <c r="H85" s="70">
        <f t="shared" si="41"/>
        <v>138.58016032820103</v>
      </c>
      <c r="I85" s="26">
        <f t="shared" si="42"/>
        <v>76.8</v>
      </c>
      <c r="J85" s="19">
        <f>'[1]А-4'!G96</f>
        <v>41.8</v>
      </c>
      <c r="K85" s="26">
        <f>'[1]А-4'!$H$96</f>
        <v>35</v>
      </c>
      <c r="L85" s="26">
        <f>'[1]А-4'!$R$96</f>
        <v>28</v>
      </c>
      <c r="M85" s="21">
        <f>'[1]А-4'!$AD$96</f>
        <v>28</v>
      </c>
      <c r="N85" s="21">
        <f>L85*10/J85</f>
        <v>6.698564593301436</v>
      </c>
      <c r="O85" s="21">
        <f>ROUND(M85/K85*10,3)</f>
        <v>8</v>
      </c>
      <c r="P85" s="26">
        <f t="shared" si="52"/>
        <v>2.3</v>
      </c>
      <c r="Q85" s="26">
        <f t="shared" si="51"/>
        <v>2.8</v>
      </c>
      <c r="R85" s="22">
        <f t="shared" si="43"/>
        <v>570</v>
      </c>
      <c r="S85" s="22">
        <f t="shared" si="44"/>
        <v>388</v>
      </c>
      <c r="T85" s="16">
        <f t="shared" si="45"/>
        <v>958</v>
      </c>
      <c r="U85" s="24">
        <f t="shared" si="48"/>
        <v>172</v>
      </c>
      <c r="V85" s="9">
        <v>0</v>
      </c>
      <c r="W85" s="24">
        <f>IF(V85&lt;=U85,V85,U85)</f>
        <v>0</v>
      </c>
      <c r="X85" s="48">
        <f t="shared" si="53"/>
        <v>2.4776071783063807</v>
      </c>
    </row>
    <row r="86" spans="1:23" ht="12.75">
      <c r="A86" s="28">
        <f t="shared" si="47"/>
        <v>76</v>
      </c>
      <c r="B86" s="189"/>
      <c r="C86" s="189"/>
      <c r="D86" s="9"/>
      <c r="E86" s="9"/>
      <c r="F86" s="10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9"/>
      <c r="U86" s="24"/>
      <c r="V86" s="9"/>
      <c r="W86" s="9"/>
    </row>
    <row r="87" spans="1:23" ht="12.75">
      <c r="A87" s="28">
        <f t="shared" si="47"/>
        <v>77</v>
      </c>
      <c r="B87" s="189"/>
      <c r="C87" s="189"/>
      <c r="D87" s="9"/>
      <c r="E87" s="9"/>
      <c r="F87" s="10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9"/>
      <c r="U87" s="9"/>
      <c r="V87" s="9"/>
      <c r="W87" s="9"/>
    </row>
    <row r="88" spans="1:23" ht="15" customHeight="1">
      <c r="A88" s="28">
        <f t="shared" si="47"/>
        <v>78</v>
      </c>
      <c r="B88" s="189"/>
      <c r="C88" s="189"/>
      <c r="D88" s="9"/>
      <c r="E88" s="9"/>
      <c r="F88" s="10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9"/>
      <c r="U88" s="9"/>
      <c r="V88" s="9"/>
      <c r="W88" s="9"/>
    </row>
    <row r="89" spans="1:30" ht="30.75" customHeight="1">
      <c r="A89" s="194" t="s">
        <v>90</v>
      </c>
      <c r="B89" s="195"/>
      <c r="C89" s="196"/>
      <c r="D89" s="78">
        <f aca="true" t="shared" si="54" ref="D89:M89">SUM(D90:D112)</f>
        <v>41</v>
      </c>
      <c r="E89" s="78">
        <f t="shared" si="54"/>
        <v>10197.523000000001</v>
      </c>
      <c r="F89" s="78">
        <f t="shared" si="54"/>
        <v>6322.224365320526</v>
      </c>
      <c r="G89" s="78">
        <f t="shared" si="54"/>
        <v>2153.349618828171</v>
      </c>
      <c r="H89" s="78">
        <f t="shared" si="54"/>
        <v>4168.8747464923545</v>
      </c>
      <c r="I89" s="78">
        <f t="shared" si="54"/>
        <v>577.4200000000001</v>
      </c>
      <c r="J89" s="78">
        <f t="shared" si="54"/>
        <v>357.7400000000001</v>
      </c>
      <c r="K89" s="78">
        <f t="shared" si="54"/>
        <v>219.67999999999998</v>
      </c>
      <c r="L89" s="78">
        <f t="shared" si="54"/>
        <v>67</v>
      </c>
      <c r="M89" s="78">
        <f t="shared" si="54"/>
        <v>74</v>
      </c>
      <c r="N89" s="74">
        <f>ROUND(L89/J89*10,2)</f>
        <v>1.87</v>
      </c>
      <c r="O89" s="74">
        <f>ROUND(M89/K89*10,3)</f>
        <v>3.369</v>
      </c>
      <c r="P89" s="76">
        <f aca="true" t="shared" si="55" ref="P89:P106">ROUND(N89*$M$5,1)</f>
        <v>0.7</v>
      </c>
      <c r="Q89" s="76">
        <f aca="true" t="shared" si="56" ref="Q89:Q106">ROUND(O89*$M$5,1)</f>
        <v>1.2</v>
      </c>
      <c r="R89" s="78">
        <f aca="true" t="shared" si="57" ref="R89:W89">SUM(R90:R112)</f>
        <v>1243</v>
      </c>
      <c r="S89" s="78">
        <f t="shared" si="57"/>
        <v>1899</v>
      </c>
      <c r="T89" s="78">
        <f t="shared" si="57"/>
        <v>3142</v>
      </c>
      <c r="U89" s="78">
        <f t="shared" si="57"/>
        <v>562</v>
      </c>
      <c r="V89" s="78">
        <f t="shared" si="57"/>
        <v>173</v>
      </c>
      <c r="W89" s="78">
        <f t="shared" si="57"/>
        <v>108</v>
      </c>
      <c r="X89" s="48"/>
      <c r="Y89" s="53">
        <f>6325/10202</f>
        <v>0.619976475200941</v>
      </c>
      <c r="AB89">
        <v>3408</v>
      </c>
      <c r="AD89" s="20">
        <f>AB89-T89</f>
        <v>266</v>
      </c>
    </row>
    <row r="90" spans="1:24" ht="12.75">
      <c r="A90" s="28">
        <v>79</v>
      </c>
      <c r="B90" s="80" t="s">
        <v>33</v>
      </c>
      <c r="C90" s="81"/>
      <c r="D90" s="18">
        <f>'[1]А-4'!$F$111</f>
        <v>0</v>
      </c>
      <c r="E90" s="95">
        <f>'[1]Норматив и фактически 2017'!$F$95</f>
        <v>215.5</v>
      </c>
      <c r="F90" s="112">
        <f aca="true" t="shared" si="58" ref="F90:F106">E90*$Y$89</f>
        <v>133.60493040580278</v>
      </c>
      <c r="G90" s="70">
        <f aca="true" t="shared" si="59" ref="G90:G106">F90*0.3406</f>
        <v>45.50583929621643</v>
      </c>
      <c r="H90" s="70">
        <f aca="true" t="shared" si="60" ref="H90:H106">F90*0.6594</f>
        <v>88.09909110958635</v>
      </c>
      <c r="I90" s="26">
        <f aca="true" t="shared" si="61" ref="I90:I106">J90+K90</f>
        <v>0</v>
      </c>
      <c r="J90" s="19">
        <f>'[1]А-4'!G111</f>
        <v>0</v>
      </c>
      <c r="K90" s="26">
        <f>'[1]А-4'!$H$111</f>
        <v>0</v>
      </c>
      <c r="L90" s="26">
        <f>'[1]А-4'!$R$111</f>
        <v>0</v>
      </c>
      <c r="M90" s="21">
        <f>'[1]А-4'!$AD$111</f>
        <v>0</v>
      </c>
      <c r="N90" s="21"/>
      <c r="O90" s="21"/>
      <c r="P90" s="26">
        <f t="shared" si="55"/>
        <v>0</v>
      </c>
      <c r="Q90" s="26">
        <f t="shared" si="56"/>
        <v>0</v>
      </c>
      <c r="R90" s="22">
        <f aca="true" t="shared" si="62" ref="R90:R106">ROUNDDOWN((P90*G90),0)</f>
        <v>0</v>
      </c>
      <c r="S90" s="22">
        <f aca="true" t="shared" si="63" ref="S90:S106">ROUNDDOWN((Q90*H90),0)</f>
        <v>0</v>
      </c>
      <c r="T90" s="16">
        <f aca="true" t="shared" si="64" ref="T90:T106">R90+S90</f>
        <v>0</v>
      </c>
      <c r="U90" s="24">
        <f>ROUNDDOWN(IF(T90&lt;$O$3,"0",T90*18/100),0)</f>
        <v>0</v>
      </c>
      <c r="V90" s="9">
        <v>0</v>
      </c>
      <c r="W90" s="24">
        <f aca="true" t="shared" si="65" ref="W90:W106">IF(V90&lt;=U90,V90,U90)</f>
        <v>0</v>
      </c>
      <c r="X90" s="48">
        <f aca="true" t="shared" si="66" ref="X90:X106">T90/F90</f>
        <v>0</v>
      </c>
    </row>
    <row r="91" spans="1:24" ht="12.75">
      <c r="A91" s="28">
        <v>80</v>
      </c>
      <c r="B91" s="192" t="s">
        <v>71</v>
      </c>
      <c r="C91" s="193"/>
      <c r="D91" s="18">
        <f>'[1]А-4'!$F$112</f>
        <v>0</v>
      </c>
      <c r="E91" s="95">
        <f>'[1]Норматив и фактически 2017'!$F$96</f>
        <v>917.285</v>
      </c>
      <c r="F91" s="112">
        <f t="shared" si="58"/>
        <v>568.6951210546952</v>
      </c>
      <c r="G91" s="70">
        <f t="shared" si="59"/>
        <v>193.69755823122918</v>
      </c>
      <c r="H91" s="70">
        <f t="shared" si="60"/>
        <v>374.99756282346596</v>
      </c>
      <c r="I91" s="26">
        <f t="shared" si="61"/>
        <v>0</v>
      </c>
      <c r="J91" s="19">
        <f>'[1]А-4'!G112</f>
        <v>0</v>
      </c>
      <c r="K91" s="26">
        <f>'[1]А-4'!$H$112</f>
        <v>0</v>
      </c>
      <c r="L91" s="26">
        <f>'[1]А-4'!$R$112</f>
        <v>0</v>
      </c>
      <c r="M91" s="21">
        <f>'[1]А-4'!$AD$112</f>
        <v>0</v>
      </c>
      <c r="N91" s="21"/>
      <c r="O91" s="21"/>
      <c r="P91" s="26">
        <f t="shared" si="55"/>
        <v>0</v>
      </c>
      <c r="Q91" s="26">
        <f t="shared" si="56"/>
        <v>0</v>
      </c>
      <c r="R91" s="22">
        <f t="shared" si="62"/>
        <v>0</v>
      </c>
      <c r="S91" s="22">
        <f t="shared" si="63"/>
        <v>0</v>
      </c>
      <c r="T91" s="16">
        <f t="shared" si="64"/>
        <v>0</v>
      </c>
      <c r="U91" s="24">
        <f aca="true" t="shared" si="67" ref="U91:U104">ROUNDDOWN(IF(T91&lt;$O$3,"0",T91*18/100),0)</f>
        <v>0</v>
      </c>
      <c r="V91" s="9">
        <v>36</v>
      </c>
      <c r="W91" s="24">
        <f t="shared" si="65"/>
        <v>0</v>
      </c>
      <c r="X91" s="48">
        <f t="shared" si="66"/>
        <v>0</v>
      </c>
    </row>
    <row r="92" spans="1:24" ht="12.75">
      <c r="A92" s="28">
        <v>81</v>
      </c>
      <c r="B92" s="10" t="s">
        <v>69</v>
      </c>
      <c r="C92" s="10"/>
      <c r="D92" s="18">
        <f>'[1]А-4'!$F$113</f>
        <v>2</v>
      </c>
      <c r="E92" s="95">
        <f>'[1]Норматив и фактически 2017'!$F$97</f>
        <v>306.857</v>
      </c>
      <c r="F92" s="112">
        <f t="shared" si="58"/>
        <v>190.24412125073516</v>
      </c>
      <c r="G92" s="70">
        <f t="shared" si="59"/>
        <v>64.7971476980004</v>
      </c>
      <c r="H92" s="70">
        <f t="shared" si="60"/>
        <v>125.44697355273476</v>
      </c>
      <c r="I92" s="26">
        <f t="shared" si="61"/>
        <v>23.91</v>
      </c>
      <c r="J92" s="19">
        <f>'[1]А-4'!G113</f>
        <v>6.2</v>
      </c>
      <c r="K92" s="26">
        <f>'[1]А-4'!$H$113</f>
        <v>17.71</v>
      </c>
      <c r="L92" s="26">
        <f>'[1]А-4'!$R$113</f>
        <v>8</v>
      </c>
      <c r="M92" s="21">
        <f>'[1]А-4'!$AD$113</f>
        <v>14</v>
      </c>
      <c r="N92" s="21">
        <f aca="true" t="shared" si="68" ref="N92:N104">L92*10/J92</f>
        <v>12.903225806451612</v>
      </c>
      <c r="O92" s="21">
        <f>ROUND(M92/K92*10,3)</f>
        <v>7.905</v>
      </c>
      <c r="P92" s="26">
        <f t="shared" si="55"/>
        <v>4.5</v>
      </c>
      <c r="Q92" s="26">
        <f t="shared" si="56"/>
        <v>2.8</v>
      </c>
      <c r="R92" s="22">
        <f t="shared" si="62"/>
        <v>291</v>
      </c>
      <c r="S92" s="22">
        <f t="shared" si="63"/>
        <v>351</v>
      </c>
      <c r="T92" s="16">
        <f t="shared" si="64"/>
        <v>642</v>
      </c>
      <c r="U92" s="24">
        <f t="shared" si="67"/>
        <v>115</v>
      </c>
      <c r="V92" s="9">
        <v>11</v>
      </c>
      <c r="W92" s="24">
        <f t="shared" si="65"/>
        <v>11</v>
      </c>
      <c r="X92" s="48">
        <f t="shared" si="66"/>
        <v>3.374611503258312</v>
      </c>
    </row>
    <row r="93" spans="1:24" ht="12.75">
      <c r="A93" s="28">
        <v>82</v>
      </c>
      <c r="B93" s="10" t="s">
        <v>68</v>
      </c>
      <c r="C93" s="10"/>
      <c r="D93" s="18">
        <f>'[1]А-4'!$F$114</f>
        <v>0</v>
      </c>
      <c r="E93" s="95">
        <f>'[1]Норматив и фактически 2017'!$F$98</f>
        <v>176.709</v>
      </c>
      <c r="F93" s="112">
        <f t="shared" si="58"/>
        <v>109.55542295628308</v>
      </c>
      <c r="G93" s="70">
        <f t="shared" si="59"/>
        <v>37.31457705891002</v>
      </c>
      <c r="H93" s="70">
        <f t="shared" si="60"/>
        <v>72.24084589737306</v>
      </c>
      <c r="I93" s="26">
        <f t="shared" si="61"/>
        <v>0</v>
      </c>
      <c r="J93" s="19">
        <f>'[1]А-4'!G114</f>
        <v>0</v>
      </c>
      <c r="K93" s="26">
        <f>'[1]А-4'!$H$114</f>
        <v>0</v>
      </c>
      <c r="L93" s="26">
        <f>'[1]А-4'!$R$114</f>
        <v>0</v>
      </c>
      <c r="M93" s="21">
        <f>'[1]А-4'!$AD$114</f>
        <v>0</v>
      </c>
      <c r="N93" s="21"/>
      <c r="O93" s="21"/>
      <c r="P93" s="26">
        <f t="shared" si="55"/>
        <v>0</v>
      </c>
      <c r="Q93" s="26">
        <f t="shared" si="56"/>
        <v>0</v>
      </c>
      <c r="R93" s="22">
        <f t="shared" si="62"/>
        <v>0</v>
      </c>
      <c r="S93" s="22">
        <f t="shared" si="63"/>
        <v>0</v>
      </c>
      <c r="T93" s="16">
        <f t="shared" si="64"/>
        <v>0</v>
      </c>
      <c r="U93" s="24">
        <f t="shared" si="67"/>
        <v>0</v>
      </c>
      <c r="V93" s="9">
        <v>4</v>
      </c>
      <c r="W93" s="24">
        <f t="shared" si="65"/>
        <v>0</v>
      </c>
      <c r="X93" s="48">
        <f t="shared" si="66"/>
        <v>0</v>
      </c>
    </row>
    <row r="94" spans="1:24" ht="16.5" customHeight="1">
      <c r="A94" s="28">
        <v>83</v>
      </c>
      <c r="B94" s="12" t="s">
        <v>53</v>
      </c>
      <c r="C94" s="9"/>
      <c r="D94" s="18">
        <f>'[1]А-4'!$F$115</f>
        <v>0</v>
      </c>
      <c r="E94" s="95">
        <f>'[1]Норматив и фактически 2017'!$F$99</f>
        <v>344.676</v>
      </c>
      <c r="F94" s="112">
        <f t="shared" si="58"/>
        <v>213.69101156635955</v>
      </c>
      <c r="G94" s="70">
        <f t="shared" si="59"/>
        <v>72.78315853950207</v>
      </c>
      <c r="H94" s="70">
        <f t="shared" si="60"/>
        <v>140.90785302685748</v>
      </c>
      <c r="I94" s="26">
        <f t="shared" si="61"/>
        <v>0</v>
      </c>
      <c r="J94" s="19">
        <f>'[1]А-4'!G115</f>
        <v>0</v>
      </c>
      <c r="K94" s="26">
        <f>'[1]А-4'!$H$115</f>
        <v>0</v>
      </c>
      <c r="L94" s="26">
        <f>'[1]А-4'!$R$115</f>
        <v>0</v>
      </c>
      <c r="M94" s="21">
        <f>'[1]А-4'!$AD$115</f>
        <v>0</v>
      </c>
      <c r="N94" s="21"/>
      <c r="O94" s="21"/>
      <c r="P94" s="26">
        <f t="shared" si="55"/>
        <v>0</v>
      </c>
      <c r="Q94" s="26">
        <f t="shared" si="56"/>
        <v>0</v>
      </c>
      <c r="R94" s="22">
        <f t="shared" si="62"/>
        <v>0</v>
      </c>
      <c r="S94" s="22">
        <f t="shared" si="63"/>
        <v>0</v>
      </c>
      <c r="T94" s="16">
        <f t="shared" si="64"/>
        <v>0</v>
      </c>
      <c r="U94" s="24">
        <f t="shared" si="67"/>
        <v>0</v>
      </c>
      <c r="V94" s="9">
        <v>18</v>
      </c>
      <c r="W94" s="24">
        <f t="shared" si="65"/>
        <v>0</v>
      </c>
      <c r="X94" s="48">
        <f t="shared" si="66"/>
        <v>0</v>
      </c>
    </row>
    <row r="95" spans="1:24" ht="15.75" customHeight="1">
      <c r="A95" s="28">
        <v>84</v>
      </c>
      <c r="B95" s="11" t="s">
        <v>54</v>
      </c>
      <c r="C95" s="7"/>
      <c r="D95" s="18">
        <f>'[1]А-4'!$F$116</f>
        <v>2</v>
      </c>
      <c r="E95" s="95">
        <f>'[1]Норматив и фактически 2017'!$F$100</f>
        <v>474.722</v>
      </c>
      <c r="F95" s="112">
        <f t="shared" si="58"/>
        <v>294.31647226034113</v>
      </c>
      <c r="G95" s="70">
        <f t="shared" si="59"/>
        <v>100.24419045187219</v>
      </c>
      <c r="H95" s="70">
        <f t="shared" si="60"/>
        <v>194.07228180846894</v>
      </c>
      <c r="I95" s="26">
        <f t="shared" si="61"/>
        <v>19.5</v>
      </c>
      <c r="J95" s="19">
        <f>'[1]А-4'!G116</f>
        <v>14.4</v>
      </c>
      <c r="K95" s="26">
        <f>'[1]А-4'!$H$116</f>
        <v>5.1</v>
      </c>
      <c r="L95" s="26">
        <f>'[1]А-4'!$R$116</f>
        <v>27</v>
      </c>
      <c r="M95" s="21">
        <f>'[1]А-4'!$AD$116</f>
        <v>0</v>
      </c>
      <c r="N95" s="21">
        <f t="shared" si="68"/>
        <v>18.75</v>
      </c>
      <c r="O95" s="21">
        <f>ROUND(M95/K95*10,3)</f>
        <v>0</v>
      </c>
      <c r="P95" s="26">
        <f t="shared" si="55"/>
        <v>6.6</v>
      </c>
      <c r="Q95" s="26">
        <f t="shared" si="56"/>
        <v>0</v>
      </c>
      <c r="R95" s="22">
        <f t="shared" si="62"/>
        <v>661</v>
      </c>
      <c r="S95" s="22">
        <f t="shared" si="63"/>
        <v>0</v>
      </c>
      <c r="T95" s="16">
        <f t="shared" si="64"/>
        <v>661</v>
      </c>
      <c r="U95" s="24">
        <f t="shared" si="67"/>
        <v>118</v>
      </c>
      <c r="V95" s="9">
        <v>15</v>
      </c>
      <c r="W95" s="24">
        <f t="shared" si="65"/>
        <v>15</v>
      </c>
      <c r="X95" s="48">
        <f t="shared" si="66"/>
        <v>2.2458817711545027</v>
      </c>
    </row>
    <row r="96" spans="1:24" ht="12.75">
      <c r="A96" s="28">
        <v>85</v>
      </c>
      <c r="B96" s="80" t="s">
        <v>40</v>
      </c>
      <c r="C96" s="81"/>
      <c r="D96" s="18">
        <f>'[1]А-4'!$F$117</f>
        <v>3</v>
      </c>
      <c r="E96" s="95">
        <f>'[1]Норматив и фактически 2017'!$F$101</f>
        <v>75.842</v>
      </c>
      <c r="F96" s="112">
        <f t="shared" si="58"/>
        <v>47.02025583218977</v>
      </c>
      <c r="G96" s="70">
        <f t="shared" si="59"/>
        <v>16.015099136443837</v>
      </c>
      <c r="H96" s="70">
        <f t="shared" si="60"/>
        <v>31.00515669574593</v>
      </c>
      <c r="I96" s="26">
        <f t="shared" si="61"/>
        <v>30.900000000000002</v>
      </c>
      <c r="J96" s="19">
        <f>'[1]А-4'!G117</f>
        <v>30.900000000000002</v>
      </c>
      <c r="K96" s="26">
        <f>'[1]А-4'!$H$117</f>
        <v>0</v>
      </c>
      <c r="L96" s="26">
        <f>'[1]А-4'!$R$117</f>
        <v>0</v>
      </c>
      <c r="M96" s="21">
        <f>'[1]А-4'!$AD$117</f>
        <v>0</v>
      </c>
      <c r="N96" s="21">
        <f t="shared" si="68"/>
        <v>0</v>
      </c>
      <c r="O96" s="21"/>
      <c r="P96" s="26">
        <f t="shared" si="55"/>
        <v>0</v>
      </c>
      <c r="Q96" s="26">
        <f t="shared" si="56"/>
        <v>0</v>
      </c>
      <c r="R96" s="22">
        <f t="shared" si="62"/>
        <v>0</v>
      </c>
      <c r="S96" s="22">
        <f t="shared" si="63"/>
        <v>0</v>
      </c>
      <c r="T96" s="16">
        <f t="shared" si="64"/>
        <v>0</v>
      </c>
      <c r="U96" s="24">
        <f t="shared" si="67"/>
        <v>0</v>
      </c>
      <c r="V96" s="9">
        <v>0</v>
      </c>
      <c r="W96" s="24">
        <f t="shared" si="65"/>
        <v>0</v>
      </c>
      <c r="X96" s="48">
        <f t="shared" si="66"/>
        <v>0</v>
      </c>
    </row>
    <row r="97" spans="1:24" ht="12.75">
      <c r="A97" s="28">
        <v>86</v>
      </c>
      <c r="B97" s="33" t="s">
        <v>46</v>
      </c>
      <c r="C97" s="34"/>
      <c r="D97" s="18">
        <f>'[1]А-4'!$F$118</f>
        <v>4</v>
      </c>
      <c r="E97" s="95">
        <f>'[1]Норматив и фактически 2017'!$F$102</f>
        <v>243.367</v>
      </c>
      <c r="F97" s="112">
        <f t="shared" si="58"/>
        <v>150.8818148402274</v>
      </c>
      <c r="G97" s="70">
        <f t="shared" si="59"/>
        <v>51.390346134581456</v>
      </c>
      <c r="H97" s="70">
        <f t="shared" si="60"/>
        <v>99.49146870564594</v>
      </c>
      <c r="I97" s="26">
        <f t="shared" si="61"/>
        <v>46.02</v>
      </c>
      <c r="J97" s="19">
        <f>'[1]А-4'!G118</f>
        <v>32.84</v>
      </c>
      <c r="K97" s="26">
        <f>'[1]А-4'!$H$118</f>
        <v>13.18</v>
      </c>
      <c r="L97" s="26">
        <f>'[1]А-4'!$R$118</f>
        <v>11</v>
      </c>
      <c r="M97" s="21">
        <f>'[1]А-4'!$AD$118</f>
        <v>43</v>
      </c>
      <c r="N97" s="21">
        <f t="shared" si="68"/>
        <v>3.3495736906211935</v>
      </c>
      <c r="O97" s="21">
        <f>ROUND(M97/K97*10,3)</f>
        <v>32.625</v>
      </c>
      <c r="P97" s="26">
        <f t="shared" si="55"/>
        <v>1.2</v>
      </c>
      <c r="Q97" s="26">
        <f t="shared" si="56"/>
        <v>11.4</v>
      </c>
      <c r="R97" s="22">
        <f t="shared" si="62"/>
        <v>61</v>
      </c>
      <c r="S97" s="22">
        <f t="shared" si="63"/>
        <v>1134</v>
      </c>
      <c r="T97" s="16">
        <f t="shared" si="64"/>
        <v>1195</v>
      </c>
      <c r="U97" s="24">
        <f t="shared" si="67"/>
        <v>215</v>
      </c>
      <c r="V97" s="9">
        <v>10</v>
      </c>
      <c r="W97" s="24">
        <f t="shared" si="65"/>
        <v>10</v>
      </c>
      <c r="X97" s="48">
        <f t="shared" si="66"/>
        <v>7.920106218668008</v>
      </c>
    </row>
    <row r="98" spans="1:24" ht="12.75">
      <c r="A98" s="28">
        <v>87</v>
      </c>
      <c r="B98" s="137" t="s">
        <v>18</v>
      </c>
      <c r="C98" s="138"/>
      <c r="D98" s="125">
        <f>'[1]А-4'!$F$119</f>
        <v>0</v>
      </c>
      <c r="E98" s="134">
        <f>'[1]Норматив и фактически 2017'!$F$103</f>
        <v>350</v>
      </c>
      <c r="F98" s="127">
        <f t="shared" si="58"/>
        <v>216.99176632032936</v>
      </c>
      <c r="G98" s="128">
        <f t="shared" si="59"/>
        <v>73.90739560870418</v>
      </c>
      <c r="H98" s="128">
        <f t="shared" si="60"/>
        <v>143.08437071162518</v>
      </c>
      <c r="I98" s="129">
        <f t="shared" si="61"/>
        <v>0</v>
      </c>
      <c r="J98" s="125">
        <f>'[1]А-4'!G119</f>
        <v>0</v>
      </c>
      <c r="K98" s="129">
        <f>'[1]А-4'!$H$119</f>
        <v>0</v>
      </c>
      <c r="L98" s="129">
        <f>'[1]А-4'!$R$119</f>
        <v>0</v>
      </c>
      <c r="M98" s="130">
        <f>'[1]А-4'!$AD$119</f>
        <v>0</v>
      </c>
      <c r="N98" s="130"/>
      <c r="O98" s="130"/>
      <c r="P98" s="129">
        <f t="shared" si="55"/>
        <v>0</v>
      </c>
      <c r="Q98" s="129">
        <f t="shared" si="56"/>
        <v>0</v>
      </c>
      <c r="R98" s="131">
        <f t="shared" si="62"/>
        <v>0</v>
      </c>
      <c r="S98" s="131">
        <f t="shared" si="63"/>
        <v>0</v>
      </c>
      <c r="T98" s="131">
        <f t="shared" si="64"/>
        <v>0</v>
      </c>
      <c r="U98" s="132">
        <f t="shared" si="67"/>
        <v>0</v>
      </c>
      <c r="V98" s="133"/>
      <c r="W98" s="132">
        <f t="shared" si="65"/>
        <v>0</v>
      </c>
      <c r="X98" s="48">
        <f t="shared" si="66"/>
        <v>0</v>
      </c>
    </row>
    <row r="99" spans="1:24" ht="12.75">
      <c r="A99" s="28">
        <v>88</v>
      </c>
      <c r="B99" s="33" t="s">
        <v>29</v>
      </c>
      <c r="C99" s="34"/>
      <c r="D99" s="18">
        <f>'[1]А-4'!$F$120</f>
        <v>18</v>
      </c>
      <c r="E99" s="95">
        <f>'[1]Норматив и фактически 2017'!$F$104</f>
        <v>5398</v>
      </c>
      <c r="F99" s="112">
        <f t="shared" si="58"/>
        <v>3346.6330131346795</v>
      </c>
      <c r="G99" s="70">
        <f t="shared" si="59"/>
        <v>1139.863204273672</v>
      </c>
      <c r="H99" s="70">
        <f t="shared" si="60"/>
        <v>2206.7698088610077</v>
      </c>
      <c r="I99" s="26">
        <f t="shared" si="61"/>
        <v>328.88</v>
      </c>
      <c r="J99" s="19">
        <f>'[1]А-4'!G120</f>
        <v>198.86</v>
      </c>
      <c r="K99" s="26">
        <f>'[1]А-4'!$H$120</f>
        <v>130.01999999999998</v>
      </c>
      <c r="L99" s="26">
        <f>'[1]А-4'!$R$120</f>
        <v>4</v>
      </c>
      <c r="M99" s="21">
        <f>'[1]А-4'!$AD$120</f>
        <v>2</v>
      </c>
      <c r="N99" s="21">
        <f t="shared" si="68"/>
        <v>0.2011465352509303</v>
      </c>
      <c r="O99" s="21">
        <f>ROUND(M99/K99*10,3)</f>
        <v>0.154</v>
      </c>
      <c r="P99" s="26">
        <f t="shared" si="55"/>
        <v>0.1</v>
      </c>
      <c r="Q99" s="26">
        <f t="shared" si="56"/>
        <v>0.1</v>
      </c>
      <c r="R99" s="22">
        <f t="shared" si="62"/>
        <v>113</v>
      </c>
      <c r="S99" s="22">
        <f t="shared" si="63"/>
        <v>220</v>
      </c>
      <c r="T99" s="16">
        <f t="shared" si="64"/>
        <v>333</v>
      </c>
      <c r="U99" s="24">
        <v>50</v>
      </c>
      <c r="V99" s="9"/>
      <c r="W99" s="24">
        <v>50</v>
      </c>
      <c r="X99" s="48">
        <f t="shared" si="66"/>
        <v>0.09950299261767277</v>
      </c>
    </row>
    <row r="100" spans="1:24" ht="12.75">
      <c r="A100" s="28">
        <v>89</v>
      </c>
      <c r="B100" s="42" t="s">
        <v>70</v>
      </c>
      <c r="C100" s="43"/>
      <c r="D100" s="18">
        <f>'[1]А-4'!$F$121</f>
        <v>0</v>
      </c>
      <c r="E100" s="95">
        <f>'[1]Норматив и фактически 2017'!$F$105</f>
        <v>255.665</v>
      </c>
      <c r="F100" s="112">
        <f t="shared" si="58"/>
        <v>158.50628553224857</v>
      </c>
      <c r="G100" s="70">
        <f t="shared" si="59"/>
        <v>53.98724085228387</v>
      </c>
      <c r="H100" s="70">
        <f t="shared" si="60"/>
        <v>104.51904467996471</v>
      </c>
      <c r="I100" s="26">
        <f t="shared" si="61"/>
        <v>0</v>
      </c>
      <c r="J100" s="19">
        <f>'[1]А-4'!G121</f>
        <v>0</v>
      </c>
      <c r="K100" s="26">
        <f>'[1]А-4'!$H$121</f>
        <v>0</v>
      </c>
      <c r="L100" s="26">
        <f>'[1]А-4'!$R$121</f>
        <v>0</v>
      </c>
      <c r="M100" s="21">
        <f>'[1]А-4'!$AD$121</f>
        <v>0</v>
      </c>
      <c r="N100" s="21"/>
      <c r="O100" s="21"/>
      <c r="P100" s="26">
        <f t="shared" si="55"/>
        <v>0</v>
      </c>
      <c r="Q100" s="26">
        <f t="shared" si="56"/>
        <v>0</v>
      </c>
      <c r="R100" s="22">
        <f t="shared" si="62"/>
        <v>0</v>
      </c>
      <c r="S100" s="22">
        <f t="shared" si="63"/>
        <v>0</v>
      </c>
      <c r="T100" s="16">
        <f t="shared" si="64"/>
        <v>0</v>
      </c>
      <c r="U100" s="24">
        <f t="shared" si="67"/>
        <v>0</v>
      </c>
      <c r="V100" s="9">
        <v>0</v>
      </c>
      <c r="W100" s="24">
        <f t="shared" si="65"/>
        <v>0</v>
      </c>
      <c r="X100" s="48">
        <f t="shared" si="66"/>
        <v>0</v>
      </c>
    </row>
    <row r="101" spans="1:24" ht="12.75">
      <c r="A101" s="28">
        <v>90</v>
      </c>
      <c r="B101" s="8" t="s">
        <v>43</v>
      </c>
      <c r="C101" s="9"/>
      <c r="D101" s="18">
        <f>'[1]А-4'!$F$122</f>
        <v>1</v>
      </c>
      <c r="E101" s="95">
        <f>'[1]Норматив и фактически 2017'!$F$106</f>
        <v>190.214</v>
      </c>
      <c r="F101" s="112">
        <f t="shared" si="58"/>
        <v>117.9282052538718</v>
      </c>
      <c r="G101" s="70">
        <f t="shared" si="59"/>
        <v>40.16634670946873</v>
      </c>
      <c r="H101" s="70">
        <f t="shared" si="60"/>
        <v>77.76185854440305</v>
      </c>
      <c r="I101" s="26">
        <f t="shared" si="61"/>
        <v>10.6</v>
      </c>
      <c r="J101" s="26">
        <f>'[1]А-4'!G122</f>
        <v>10.6</v>
      </c>
      <c r="K101" s="26">
        <f>'[1]А-4'!$H$122</f>
        <v>0</v>
      </c>
      <c r="L101" s="26">
        <f>'[1]А-4'!$R$122</f>
        <v>0</v>
      </c>
      <c r="M101" s="21">
        <f>'[1]А-4'!$AD$122</f>
        <v>0</v>
      </c>
      <c r="N101" s="21">
        <f t="shared" si="68"/>
        <v>0</v>
      </c>
      <c r="O101" s="21"/>
      <c r="P101" s="26">
        <f t="shared" si="55"/>
        <v>0</v>
      </c>
      <c r="Q101" s="26">
        <f t="shared" si="56"/>
        <v>0</v>
      </c>
      <c r="R101" s="22">
        <f t="shared" si="62"/>
        <v>0</v>
      </c>
      <c r="S101" s="22">
        <f t="shared" si="63"/>
        <v>0</v>
      </c>
      <c r="T101" s="16">
        <f t="shared" si="64"/>
        <v>0</v>
      </c>
      <c r="U101" s="24">
        <f t="shared" si="67"/>
        <v>0</v>
      </c>
      <c r="V101" s="9">
        <v>24</v>
      </c>
      <c r="W101" s="24">
        <f t="shared" si="65"/>
        <v>0</v>
      </c>
      <c r="X101" s="48">
        <f t="shared" si="66"/>
        <v>0</v>
      </c>
    </row>
    <row r="102" spans="1:24" ht="12.75">
      <c r="A102" s="28">
        <v>91</v>
      </c>
      <c r="B102" s="13" t="s">
        <v>104</v>
      </c>
      <c r="C102" s="7"/>
      <c r="D102" s="18">
        <f>'[1]А-4'!$F$123</f>
        <v>3</v>
      </c>
      <c r="E102" s="95">
        <f>'[1]Норматив и фактически 2017'!$F$107</f>
        <v>263.685</v>
      </c>
      <c r="F102" s="112">
        <f t="shared" si="58"/>
        <v>163.47849686336014</v>
      </c>
      <c r="G102" s="70">
        <f t="shared" si="59"/>
        <v>55.680776031660464</v>
      </c>
      <c r="H102" s="70">
        <f t="shared" si="60"/>
        <v>107.79772083169966</v>
      </c>
      <c r="I102" s="26">
        <f t="shared" si="61"/>
        <v>34.02</v>
      </c>
      <c r="J102" s="19">
        <f>'[1]А-4'!G123</f>
        <v>22.6</v>
      </c>
      <c r="K102" s="26">
        <f>'[1]А-4'!$H$123</f>
        <v>11.42</v>
      </c>
      <c r="L102" s="26">
        <f>'[1]А-4'!$R$123</f>
        <v>0</v>
      </c>
      <c r="M102" s="21">
        <f>'[1]А-4'!$AD$123</f>
        <v>0</v>
      </c>
      <c r="N102" s="21">
        <f t="shared" si="68"/>
        <v>0</v>
      </c>
      <c r="O102" s="21">
        <f>ROUND(M102/K102*10,3)</f>
        <v>0</v>
      </c>
      <c r="P102" s="26">
        <f t="shared" si="55"/>
        <v>0</v>
      </c>
      <c r="Q102" s="26">
        <f t="shared" si="56"/>
        <v>0</v>
      </c>
      <c r="R102" s="22">
        <f t="shared" si="62"/>
        <v>0</v>
      </c>
      <c r="S102" s="22">
        <f t="shared" si="63"/>
        <v>0</v>
      </c>
      <c r="T102" s="16">
        <f t="shared" si="64"/>
        <v>0</v>
      </c>
      <c r="U102" s="24">
        <f t="shared" si="67"/>
        <v>0</v>
      </c>
      <c r="V102" s="9">
        <v>33</v>
      </c>
      <c r="W102" s="24">
        <f t="shared" si="65"/>
        <v>0</v>
      </c>
      <c r="X102" s="48">
        <f t="shared" si="66"/>
        <v>0</v>
      </c>
    </row>
    <row r="103" spans="1:24" ht="12.75">
      <c r="A103" s="28">
        <v>92</v>
      </c>
      <c r="B103" s="190" t="s">
        <v>139</v>
      </c>
      <c r="C103" s="191"/>
      <c r="D103" s="18">
        <f>'[1]А-4'!$F$124</f>
        <v>0</v>
      </c>
      <c r="E103" s="17">
        <f>'[1]Норматив и фактически 2017'!$F$108</f>
        <v>356.318</v>
      </c>
      <c r="F103" s="114">
        <f t="shared" si="58"/>
        <v>220.9087776906489</v>
      </c>
      <c r="G103" s="70">
        <f t="shared" si="59"/>
        <v>75.24152968143501</v>
      </c>
      <c r="H103" s="70">
        <f t="shared" si="60"/>
        <v>145.66724800921386</v>
      </c>
      <c r="I103" s="26">
        <f t="shared" si="61"/>
        <v>0</v>
      </c>
      <c r="J103" s="19">
        <f>'[1]А-4'!G124</f>
        <v>0</v>
      </c>
      <c r="K103" s="26">
        <f>'[1]А-4'!$H$124</f>
        <v>0</v>
      </c>
      <c r="L103" s="26">
        <f>'[1]А-4'!$R$124</f>
        <v>0</v>
      </c>
      <c r="M103" s="21">
        <f>'[1]А-4'!$AD$124</f>
        <v>0</v>
      </c>
      <c r="N103" s="21"/>
      <c r="O103" s="21"/>
      <c r="P103" s="26">
        <f t="shared" si="55"/>
        <v>0</v>
      </c>
      <c r="Q103" s="26">
        <f t="shared" si="56"/>
        <v>0</v>
      </c>
      <c r="R103" s="22">
        <f t="shared" si="62"/>
        <v>0</v>
      </c>
      <c r="S103" s="22">
        <f t="shared" si="63"/>
        <v>0</v>
      </c>
      <c r="T103" s="16">
        <f t="shared" si="64"/>
        <v>0</v>
      </c>
      <c r="U103" s="24">
        <f t="shared" si="67"/>
        <v>0</v>
      </c>
      <c r="V103" s="9">
        <v>0</v>
      </c>
      <c r="W103" s="24">
        <f t="shared" si="65"/>
        <v>0</v>
      </c>
      <c r="X103" s="48">
        <f t="shared" si="66"/>
        <v>0</v>
      </c>
    </row>
    <row r="104" spans="1:24" ht="12.75">
      <c r="A104" s="28">
        <v>93</v>
      </c>
      <c r="B104" s="190" t="s">
        <v>140</v>
      </c>
      <c r="C104" s="191"/>
      <c r="D104" s="18">
        <f>'[1]А-4'!$F$125</f>
        <v>8</v>
      </c>
      <c r="E104" s="17">
        <f>'[1]Норматив и фактически 2017'!$F$109</f>
        <v>397.065</v>
      </c>
      <c r="F104" s="114">
        <f t="shared" si="58"/>
        <v>246.17095912566165</v>
      </c>
      <c r="G104" s="70">
        <f t="shared" si="59"/>
        <v>83.84582867820036</v>
      </c>
      <c r="H104" s="70">
        <f t="shared" si="60"/>
        <v>162.32513044746128</v>
      </c>
      <c r="I104" s="26">
        <f t="shared" si="61"/>
        <v>83.59</v>
      </c>
      <c r="J104" s="19">
        <f>'[1]А-4'!G125</f>
        <v>41.34</v>
      </c>
      <c r="K104" s="26">
        <f>'[1]А-4'!$H$125</f>
        <v>42.25</v>
      </c>
      <c r="L104" s="26">
        <f>'[1]А-4'!$R$125</f>
        <v>17</v>
      </c>
      <c r="M104" s="21">
        <f>'[1]А-4'!$AD$125</f>
        <v>15</v>
      </c>
      <c r="N104" s="21">
        <f t="shared" si="68"/>
        <v>4.112239961296565</v>
      </c>
      <c r="O104" s="21">
        <f>ROUND(M104/K104*10,3)</f>
        <v>3.55</v>
      </c>
      <c r="P104" s="26">
        <f t="shared" si="55"/>
        <v>1.4</v>
      </c>
      <c r="Q104" s="26">
        <f t="shared" si="56"/>
        <v>1.2</v>
      </c>
      <c r="R104" s="22">
        <f t="shared" si="62"/>
        <v>117</v>
      </c>
      <c r="S104" s="22">
        <f t="shared" si="63"/>
        <v>194</v>
      </c>
      <c r="T104" s="16">
        <f t="shared" si="64"/>
        <v>311</v>
      </c>
      <c r="U104" s="24">
        <f t="shared" si="67"/>
        <v>55</v>
      </c>
      <c r="V104" s="9">
        <v>22</v>
      </c>
      <c r="W104" s="24">
        <f t="shared" si="65"/>
        <v>22</v>
      </c>
      <c r="X104" s="48">
        <f t="shared" si="66"/>
        <v>1.2633496701016036</v>
      </c>
    </row>
    <row r="105" spans="1:24" ht="12.75">
      <c r="A105" s="28">
        <v>94</v>
      </c>
      <c r="B105" s="190" t="s">
        <v>141</v>
      </c>
      <c r="C105" s="191"/>
      <c r="D105" s="18">
        <f>'[1]А-4'!$F$126</f>
        <v>0</v>
      </c>
      <c r="E105" s="17">
        <f>'[1]Норматив и фактически 2017'!$F$110</f>
        <v>114.404</v>
      </c>
      <c r="F105" s="114">
        <f t="shared" si="58"/>
        <v>70.92778866888845</v>
      </c>
      <c r="G105" s="70">
        <f t="shared" si="59"/>
        <v>24.158004820623407</v>
      </c>
      <c r="H105" s="70">
        <f t="shared" si="60"/>
        <v>46.76978384826504</v>
      </c>
      <c r="I105" s="26">
        <f t="shared" si="61"/>
        <v>0</v>
      </c>
      <c r="J105" s="19">
        <f>'[1]А-4'!G126</f>
        <v>0</v>
      </c>
      <c r="K105" s="26">
        <f>'[1]А-4'!$H$126</f>
        <v>0</v>
      </c>
      <c r="L105" s="26">
        <f>'[1]А-4'!$R$126</f>
        <v>0</v>
      </c>
      <c r="M105" s="21">
        <f>'[1]А-4'!$AD$126</f>
        <v>0</v>
      </c>
      <c r="N105" s="21"/>
      <c r="O105" s="21"/>
      <c r="P105" s="26">
        <f t="shared" si="55"/>
        <v>0</v>
      </c>
      <c r="Q105" s="26">
        <f t="shared" si="56"/>
        <v>0</v>
      </c>
      <c r="R105" s="22">
        <f t="shared" si="62"/>
        <v>0</v>
      </c>
      <c r="S105" s="22">
        <f t="shared" si="63"/>
        <v>0</v>
      </c>
      <c r="T105" s="16">
        <f t="shared" si="64"/>
        <v>0</v>
      </c>
      <c r="U105" s="24">
        <v>4</v>
      </c>
      <c r="V105" s="9">
        <v>0</v>
      </c>
      <c r="W105" s="24">
        <f t="shared" si="65"/>
        <v>0</v>
      </c>
      <c r="X105" s="48">
        <f t="shared" si="66"/>
        <v>0</v>
      </c>
    </row>
    <row r="106" spans="1:24" ht="12.75">
      <c r="A106" s="28">
        <v>95</v>
      </c>
      <c r="B106" s="190" t="s">
        <v>142</v>
      </c>
      <c r="C106" s="191"/>
      <c r="D106" s="18">
        <f>'[1]А-4'!$F$127</f>
        <v>0</v>
      </c>
      <c r="E106" s="17">
        <f>'[1]Норматив и фактически 2017'!$F$111</f>
        <v>117.214</v>
      </c>
      <c r="F106" s="114">
        <f t="shared" si="58"/>
        <v>72.6699225642031</v>
      </c>
      <c r="G106" s="70">
        <f t="shared" si="59"/>
        <v>24.75137562536758</v>
      </c>
      <c r="H106" s="70">
        <f t="shared" si="60"/>
        <v>47.918546938835526</v>
      </c>
      <c r="I106" s="26">
        <f t="shared" si="61"/>
        <v>0</v>
      </c>
      <c r="J106" s="19">
        <f>'[1]А-4'!G127</f>
        <v>0</v>
      </c>
      <c r="K106" s="26">
        <f>'[1]А-4'!$H$127</f>
        <v>0</v>
      </c>
      <c r="L106" s="26">
        <f>'[1]А-4'!$R$127</f>
        <v>0</v>
      </c>
      <c r="M106" s="21">
        <f>'[1]А-4'!$AD$127</f>
        <v>0</v>
      </c>
      <c r="N106" s="21"/>
      <c r="O106" s="21"/>
      <c r="P106" s="26">
        <f t="shared" si="55"/>
        <v>0</v>
      </c>
      <c r="Q106" s="26">
        <f t="shared" si="56"/>
        <v>0</v>
      </c>
      <c r="R106" s="22">
        <f t="shared" si="62"/>
        <v>0</v>
      </c>
      <c r="S106" s="22">
        <f t="shared" si="63"/>
        <v>0</v>
      </c>
      <c r="T106" s="16">
        <f t="shared" si="64"/>
        <v>0</v>
      </c>
      <c r="U106" s="24">
        <v>5</v>
      </c>
      <c r="V106" s="9">
        <v>0</v>
      </c>
      <c r="W106" s="24">
        <f t="shared" si="65"/>
        <v>0</v>
      </c>
      <c r="X106" s="48">
        <f t="shared" si="66"/>
        <v>0</v>
      </c>
    </row>
    <row r="107" spans="1:24" ht="12.75">
      <c r="A107" s="28">
        <v>96</v>
      </c>
      <c r="B107" s="109"/>
      <c r="C107" s="108"/>
      <c r="D107" s="18"/>
      <c r="E107" s="17"/>
      <c r="F107" s="114"/>
      <c r="G107" s="70"/>
      <c r="H107" s="70"/>
      <c r="I107" s="26"/>
      <c r="J107" s="19"/>
      <c r="K107" s="26"/>
      <c r="L107" s="21"/>
      <c r="M107" s="21"/>
      <c r="N107" s="21"/>
      <c r="O107" s="21"/>
      <c r="P107" s="26"/>
      <c r="Q107" s="26"/>
      <c r="R107" s="22"/>
      <c r="S107" s="22"/>
      <c r="T107" s="16"/>
      <c r="U107" s="24"/>
      <c r="V107" s="9"/>
      <c r="W107" s="24"/>
      <c r="X107" s="48"/>
    </row>
    <row r="108" spans="1:24" ht="12.75">
      <c r="A108" s="28">
        <v>97</v>
      </c>
      <c r="B108" s="202"/>
      <c r="C108" s="203"/>
      <c r="D108" s="18"/>
      <c r="E108" s="17"/>
      <c r="F108" s="114"/>
      <c r="G108" s="70"/>
      <c r="H108" s="70"/>
      <c r="I108" s="26"/>
      <c r="J108" s="19"/>
      <c r="K108" s="26"/>
      <c r="L108" s="21"/>
      <c r="M108" s="21"/>
      <c r="N108" s="21"/>
      <c r="O108" s="21"/>
      <c r="P108" s="26"/>
      <c r="Q108" s="26"/>
      <c r="R108" s="22"/>
      <c r="S108" s="22"/>
      <c r="T108" s="16"/>
      <c r="U108" s="24"/>
      <c r="V108" s="9"/>
      <c r="W108" s="24"/>
      <c r="X108" s="48"/>
    </row>
    <row r="109" spans="1:24" ht="12.75">
      <c r="A109" s="28">
        <v>98</v>
      </c>
      <c r="B109" s="202"/>
      <c r="C109" s="203"/>
      <c r="D109" s="18"/>
      <c r="E109" s="17"/>
      <c r="F109" s="115"/>
      <c r="G109" s="70"/>
      <c r="H109" s="70"/>
      <c r="I109" s="26"/>
      <c r="J109" s="19"/>
      <c r="K109" s="26"/>
      <c r="L109" s="21"/>
      <c r="M109" s="21"/>
      <c r="N109" s="21"/>
      <c r="O109" s="21"/>
      <c r="P109" s="26"/>
      <c r="Q109" s="26"/>
      <c r="R109" s="22"/>
      <c r="S109" s="22"/>
      <c r="T109" s="16"/>
      <c r="U109" s="24"/>
      <c r="V109" s="9"/>
      <c r="W109" s="24"/>
      <c r="X109" s="48"/>
    </row>
    <row r="110" spans="1:24" ht="12.75">
      <c r="A110" s="28">
        <v>99</v>
      </c>
      <c r="B110" s="202"/>
      <c r="C110" s="203"/>
      <c r="D110" s="18"/>
      <c r="E110" s="17"/>
      <c r="F110" s="114"/>
      <c r="G110" s="70"/>
      <c r="H110" s="70"/>
      <c r="I110" s="26"/>
      <c r="J110" s="19"/>
      <c r="K110" s="26"/>
      <c r="L110" s="21"/>
      <c r="M110" s="21"/>
      <c r="N110" s="21"/>
      <c r="O110" s="21"/>
      <c r="P110" s="26"/>
      <c r="Q110" s="26"/>
      <c r="R110" s="22"/>
      <c r="S110" s="22"/>
      <c r="T110" s="16"/>
      <c r="U110" s="24"/>
      <c r="V110" s="9"/>
      <c r="W110" s="24"/>
      <c r="X110" s="48"/>
    </row>
    <row r="111" spans="1:24" ht="12.75">
      <c r="A111" s="28">
        <v>100</v>
      </c>
      <c r="B111" s="202"/>
      <c r="C111" s="203"/>
      <c r="D111" s="18"/>
      <c r="E111" s="17"/>
      <c r="F111" s="114"/>
      <c r="G111" s="70"/>
      <c r="H111" s="70"/>
      <c r="I111" s="26"/>
      <c r="J111" s="19"/>
      <c r="K111" s="26"/>
      <c r="L111" s="21"/>
      <c r="M111" s="21"/>
      <c r="N111" s="21"/>
      <c r="O111" s="21"/>
      <c r="P111" s="26"/>
      <c r="Q111" s="26"/>
      <c r="R111" s="22"/>
      <c r="S111" s="22"/>
      <c r="T111" s="16"/>
      <c r="U111" s="24"/>
      <c r="V111" s="9"/>
      <c r="W111" s="24"/>
      <c r="X111" s="48"/>
    </row>
    <row r="112" spans="1:24" ht="12.75">
      <c r="A112" s="28">
        <v>101</v>
      </c>
      <c r="B112" s="202"/>
      <c r="C112" s="203"/>
      <c r="D112" s="18"/>
      <c r="E112" s="17"/>
      <c r="F112" s="114"/>
      <c r="G112" s="70"/>
      <c r="H112" s="70"/>
      <c r="I112" s="26"/>
      <c r="J112" s="19"/>
      <c r="K112" s="26"/>
      <c r="L112" s="21"/>
      <c r="M112" s="21"/>
      <c r="N112" s="21"/>
      <c r="O112" s="21"/>
      <c r="P112" s="26"/>
      <c r="Q112" s="26"/>
      <c r="R112" s="22"/>
      <c r="S112" s="22"/>
      <c r="T112" s="16"/>
      <c r="U112" s="24"/>
      <c r="V112" s="9"/>
      <c r="W112" s="24"/>
      <c r="X112" s="48"/>
    </row>
    <row r="113" spans="1:30" ht="24.75" customHeight="1">
      <c r="A113" s="199" t="s">
        <v>123</v>
      </c>
      <c r="B113" s="200"/>
      <c r="C113" s="201"/>
      <c r="D113" s="120">
        <f>SUM(D114:D119)</f>
        <v>60</v>
      </c>
      <c r="E113" s="74">
        <f aca="true" t="shared" si="69" ref="E113:M113">SUM(E114:E124)</f>
        <v>4663.179</v>
      </c>
      <c r="F113" s="74">
        <f t="shared" si="69"/>
        <v>2947</v>
      </c>
      <c r="G113" s="74">
        <f t="shared" si="69"/>
        <v>1757.0013999999999</v>
      </c>
      <c r="H113" s="74">
        <f t="shared" si="69"/>
        <v>1189.9986</v>
      </c>
      <c r="I113" s="74">
        <f t="shared" si="69"/>
        <v>641.79</v>
      </c>
      <c r="J113" s="74">
        <f t="shared" si="69"/>
        <v>610.9300000000001</v>
      </c>
      <c r="K113" s="74">
        <f t="shared" si="69"/>
        <v>30.860000000000003</v>
      </c>
      <c r="L113" s="74">
        <f t="shared" si="69"/>
        <v>116</v>
      </c>
      <c r="M113" s="74">
        <f t="shared" si="69"/>
        <v>19</v>
      </c>
      <c r="N113" s="74">
        <f>ROUND(L113/J113*10,2)</f>
        <v>1.9</v>
      </c>
      <c r="O113" s="74">
        <f>ROUND(M113/K113*10,2)</f>
        <v>6.16</v>
      </c>
      <c r="P113" s="76">
        <f aca="true" t="shared" si="70" ref="P113:P119">ROUND(N113*$M$5,1)</f>
        <v>0.7</v>
      </c>
      <c r="Q113" s="74">
        <f>ROUND(O113*$M$5,2)</f>
        <v>2.16</v>
      </c>
      <c r="R113" s="77">
        <f aca="true" t="shared" si="71" ref="R113:W113">SUM(R114:R124)</f>
        <v>1212</v>
      </c>
      <c r="S113" s="77">
        <f t="shared" si="71"/>
        <v>184</v>
      </c>
      <c r="T113" s="77">
        <f t="shared" si="71"/>
        <v>1396</v>
      </c>
      <c r="U113" s="77">
        <f t="shared" si="71"/>
        <v>232</v>
      </c>
      <c r="V113" s="77">
        <f t="shared" si="71"/>
        <v>114</v>
      </c>
      <c r="W113" s="77">
        <f t="shared" si="71"/>
        <v>127</v>
      </c>
      <c r="X113" s="48">
        <f>T113/F113</f>
        <v>0.47370206990159486</v>
      </c>
      <c r="Y113">
        <f>2947/E113</f>
        <v>0.6319723090192334</v>
      </c>
      <c r="AB113">
        <v>1570</v>
      </c>
      <c r="AD113" s="20">
        <f>AB113-T113</f>
        <v>174</v>
      </c>
    </row>
    <row r="114" spans="1:24" ht="12.75">
      <c r="A114" s="28">
        <v>102</v>
      </c>
      <c r="B114" s="8" t="s">
        <v>19</v>
      </c>
      <c r="C114" s="9"/>
      <c r="D114" s="18">
        <f>'[1]А-4'!$F$133</f>
        <v>31</v>
      </c>
      <c r="E114" s="92">
        <f>'[1]Норматив и фактически 2017'!$F$119</f>
        <v>2465</v>
      </c>
      <c r="F114" s="112">
        <f aca="true" t="shared" si="72" ref="F114:F119">E114*$Y$113</f>
        <v>1557.8117417324104</v>
      </c>
      <c r="G114" s="70">
        <f aca="true" t="shared" si="73" ref="G114:G119">F114*0.5962</f>
        <v>928.767360420863</v>
      </c>
      <c r="H114" s="70">
        <f aca="true" t="shared" si="74" ref="H114:H119">F114*0.4038</f>
        <v>629.0443813115473</v>
      </c>
      <c r="I114" s="26">
        <f aca="true" t="shared" si="75" ref="I114:I119">J114+K114</f>
        <v>321.7</v>
      </c>
      <c r="J114" s="26">
        <f>'[1]А-4'!G133</f>
        <v>321.7</v>
      </c>
      <c r="K114" s="26">
        <f>'[1]А-4'!$H$133</f>
        <v>0</v>
      </c>
      <c r="L114" s="21">
        <f>'[1]А-4'!$R$133</f>
        <v>66</v>
      </c>
      <c r="M114" s="21">
        <f>'[1]А-4'!$AD$133</f>
        <v>0</v>
      </c>
      <c r="N114" s="21">
        <f aca="true" t="shared" si="76" ref="N114:N119">L114*10/J114</f>
        <v>2.051600870376127</v>
      </c>
      <c r="O114" s="21"/>
      <c r="P114" s="26">
        <f t="shared" si="70"/>
        <v>0.7</v>
      </c>
      <c r="Q114" s="26">
        <f aca="true" t="shared" si="77" ref="Q114:Q119">ROUND(O114*$M$5,1)</f>
        <v>0</v>
      </c>
      <c r="R114" s="22">
        <f aca="true" t="shared" si="78" ref="R114:S119">ROUNDDOWN((P114*G114),0)</f>
        <v>650</v>
      </c>
      <c r="S114" s="22">
        <f t="shared" si="78"/>
        <v>0</v>
      </c>
      <c r="T114" s="16">
        <f aca="true" t="shared" si="79" ref="T114:T119">R114+S114</f>
        <v>650</v>
      </c>
      <c r="U114" s="24">
        <f aca="true" t="shared" si="80" ref="U114:U119">ROUNDDOWN(IF(T114&lt;$O$3,"0",T114*18/100),0)</f>
        <v>117</v>
      </c>
      <c r="V114" s="9">
        <v>75</v>
      </c>
      <c r="W114" s="24">
        <f>IF(V114&lt;=U114,V114,U114)</f>
        <v>75</v>
      </c>
      <c r="X114" s="48">
        <f>T114/F114</f>
        <v>0.41725195836381895</v>
      </c>
    </row>
    <row r="115" spans="1:24" ht="12.75">
      <c r="A115" s="28">
        <v>103</v>
      </c>
      <c r="B115" s="8" t="s">
        <v>39</v>
      </c>
      <c r="C115" s="9"/>
      <c r="D115" s="18">
        <f>'[1]А-4'!$F$134</f>
        <v>2</v>
      </c>
      <c r="E115" s="92">
        <f>'[1]Норматив и фактически 2017'!$F$120</f>
        <v>212.2506</v>
      </c>
      <c r="F115" s="112">
        <f t="shared" si="72"/>
        <v>134.1365017727177</v>
      </c>
      <c r="G115" s="70">
        <f t="shared" si="73"/>
        <v>79.9721823568943</v>
      </c>
      <c r="H115" s="70">
        <f t="shared" si="74"/>
        <v>54.16431941582341</v>
      </c>
      <c r="I115" s="26">
        <f t="shared" si="75"/>
        <v>23.2</v>
      </c>
      <c r="J115" s="26">
        <f>'[1]А-4'!G134</f>
        <v>16.7</v>
      </c>
      <c r="K115" s="26">
        <f>'[1]А-4'!$H$134</f>
        <v>6.5</v>
      </c>
      <c r="L115" s="21">
        <f>'[1]А-4'!$R$134</f>
        <v>15</v>
      </c>
      <c r="M115" s="21">
        <f>'[1]А-4'!$AD$134</f>
        <v>0</v>
      </c>
      <c r="N115" s="21">
        <f t="shared" si="76"/>
        <v>8.982035928143713</v>
      </c>
      <c r="O115" s="21">
        <f>ROUND(M115/K115*10,3)</f>
        <v>0</v>
      </c>
      <c r="P115" s="26">
        <f t="shared" si="70"/>
        <v>3.1</v>
      </c>
      <c r="Q115" s="26">
        <f t="shared" si="77"/>
        <v>0</v>
      </c>
      <c r="R115" s="22">
        <f t="shared" si="78"/>
        <v>247</v>
      </c>
      <c r="S115" s="22">
        <f t="shared" si="78"/>
        <v>0</v>
      </c>
      <c r="T115" s="16">
        <f t="shared" si="79"/>
        <v>247</v>
      </c>
      <c r="U115" s="24">
        <f t="shared" si="80"/>
        <v>44</v>
      </c>
      <c r="V115" s="9">
        <v>4</v>
      </c>
      <c r="W115" s="24">
        <f>IF(V115&lt;=U115,V115,U115)</f>
        <v>4</v>
      </c>
      <c r="X115" s="48">
        <f>T115/F115</f>
        <v>1.8414077953107753</v>
      </c>
    </row>
    <row r="116" spans="1:24" ht="12.75">
      <c r="A116" s="28">
        <v>104</v>
      </c>
      <c r="B116" s="137" t="s">
        <v>20</v>
      </c>
      <c r="C116" s="138"/>
      <c r="D116" s="125">
        <f>'[1]А-4'!$F$135</f>
        <v>4</v>
      </c>
      <c r="E116" s="134">
        <f>'[1]Норматив и фактически 2017'!$F$121</f>
        <v>370</v>
      </c>
      <c r="F116" s="127">
        <f t="shared" si="72"/>
        <v>233.82975433711636</v>
      </c>
      <c r="G116" s="128">
        <f t="shared" si="73"/>
        <v>139.40929953578876</v>
      </c>
      <c r="H116" s="128">
        <f t="shared" si="74"/>
        <v>94.42045480132758</v>
      </c>
      <c r="I116" s="129">
        <f t="shared" si="75"/>
        <v>48.22</v>
      </c>
      <c r="J116" s="129">
        <f>'[1]А-4'!G135</f>
        <v>48.22</v>
      </c>
      <c r="K116" s="129">
        <f>'[1]А-4'!$H$135</f>
        <v>0</v>
      </c>
      <c r="L116" s="130">
        <f>'[1]А-4'!$R$135</f>
        <v>10</v>
      </c>
      <c r="M116" s="130">
        <f>'[1]А-4'!$AD$135</f>
        <v>0</v>
      </c>
      <c r="N116" s="130">
        <f t="shared" si="76"/>
        <v>2.073828287017835</v>
      </c>
      <c r="O116" s="130"/>
      <c r="P116" s="129">
        <f t="shared" si="70"/>
        <v>0.7</v>
      </c>
      <c r="Q116" s="129">
        <f t="shared" si="77"/>
        <v>0</v>
      </c>
      <c r="R116" s="131">
        <f t="shared" si="78"/>
        <v>97</v>
      </c>
      <c r="S116" s="131">
        <f t="shared" si="78"/>
        <v>0</v>
      </c>
      <c r="T116" s="131">
        <f t="shared" si="79"/>
        <v>97</v>
      </c>
      <c r="U116" s="132">
        <v>0</v>
      </c>
      <c r="V116" s="133"/>
      <c r="W116" s="24">
        <f>IF(V116&lt;=U116,V116,U116)</f>
        <v>0</v>
      </c>
      <c r="X116" s="48">
        <f>T116/F116</f>
        <v>0.41483172351177106</v>
      </c>
    </row>
    <row r="117" spans="1:23" ht="12.75">
      <c r="A117" s="28">
        <v>105</v>
      </c>
      <c r="B117" s="8" t="s">
        <v>47</v>
      </c>
      <c r="C117" s="9"/>
      <c r="D117" s="18">
        <f>'[1]А-4'!$F$136</f>
        <v>7</v>
      </c>
      <c r="E117" s="92">
        <f>'[1]Норматив и фактически 2017'!$F$122</f>
        <v>798.6244</v>
      </c>
      <c r="F117" s="112">
        <f t="shared" si="72"/>
        <v>504.7085061070999</v>
      </c>
      <c r="G117" s="70">
        <f t="shared" si="73"/>
        <v>300.9072113410529</v>
      </c>
      <c r="H117" s="70">
        <f t="shared" si="74"/>
        <v>203.80129476604694</v>
      </c>
      <c r="I117" s="26">
        <f t="shared" si="75"/>
        <v>82.93</v>
      </c>
      <c r="J117" s="26">
        <f>'[1]А-4'!G136</f>
        <v>78.42</v>
      </c>
      <c r="K117" s="26">
        <f>'[1]А-4'!$H$136</f>
        <v>4.510000000000001</v>
      </c>
      <c r="L117" s="21">
        <f>'[1]А-4'!$R$136</f>
        <v>8</v>
      </c>
      <c r="M117" s="21">
        <f>'[1]А-4'!$AD$136</f>
        <v>0</v>
      </c>
      <c r="N117" s="21">
        <f t="shared" si="76"/>
        <v>1.02014792144861</v>
      </c>
      <c r="O117" s="21">
        <f>ROUND(M117/K117*10,3)</f>
        <v>0</v>
      </c>
      <c r="P117" s="26">
        <f t="shared" si="70"/>
        <v>0.4</v>
      </c>
      <c r="Q117" s="26">
        <f t="shared" si="77"/>
        <v>0</v>
      </c>
      <c r="R117" s="22">
        <f t="shared" si="78"/>
        <v>120</v>
      </c>
      <c r="S117" s="22">
        <f t="shared" si="78"/>
        <v>0</v>
      </c>
      <c r="T117" s="16">
        <f t="shared" si="79"/>
        <v>120</v>
      </c>
      <c r="U117" s="24">
        <f t="shared" si="80"/>
        <v>21</v>
      </c>
      <c r="V117" s="9"/>
      <c r="W117" s="24">
        <v>21</v>
      </c>
    </row>
    <row r="118" spans="1:24" ht="12.75">
      <c r="A118" s="28">
        <v>106</v>
      </c>
      <c r="B118" s="110" t="s">
        <v>141</v>
      </c>
      <c r="C118" s="111"/>
      <c r="D118" s="18">
        <f>'[1]А-4'!$F$137</f>
        <v>2</v>
      </c>
      <c r="E118" s="92">
        <f>'[1]Норматив и фактически 2017'!$F$124</f>
        <v>160.95</v>
      </c>
      <c r="F118" s="112">
        <f t="shared" si="72"/>
        <v>101.7159431366456</v>
      </c>
      <c r="G118" s="70">
        <f t="shared" si="73"/>
        <v>60.6430452980681</v>
      </c>
      <c r="H118" s="70">
        <f t="shared" si="74"/>
        <v>41.0728978385775</v>
      </c>
      <c r="I118" s="26">
        <f t="shared" si="75"/>
        <v>20.94</v>
      </c>
      <c r="J118" s="26">
        <f>'[1]А-4'!G137</f>
        <v>6.29</v>
      </c>
      <c r="K118" s="26">
        <f>'[1]А-4'!$H$137</f>
        <v>14.65</v>
      </c>
      <c r="L118" s="21">
        <f>'[1]А-4'!$R$137</f>
        <v>0</v>
      </c>
      <c r="M118" s="21">
        <f>'[1]А-4'!$AD$137</f>
        <v>19</v>
      </c>
      <c r="N118" s="21">
        <f t="shared" si="76"/>
        <v>0</v>
      </c>
      <c r="O118" s="21">
        <f>ROUND(M118/K118*10,3)</f>
        <v>12.969</v>
      </c>
      <c r="P118" s="26">
        <f t="shared" si="70"/>
        <v>0</v>
      </c>
      <c r="Q118" s="26">
        <f t="shared" si="77"/>
        <v>4.5</v>
      </c>
      <c r="R118" s="22">
        <f t="shared" si="78"/>
        <v>0</v>
      </c>
      <c r="S118" s="22">
        <f t="shared" si="78"/>
        <v>184</v>
      </c>
      <c r="T118" s="16">
        <f t="shared" si="79"/>
        <v>184</v>
      </c>
      <c r="U118" s="24">
        <f t="shared" si="80"/>
        <v>33</v>
      </c>
      <c r="V118" s="9">
        <v>10</v>
      </c>
      <c r="W118" s="24">
        <f>IF(V118&lt;=U118,V118,U118)</f>
        <v>10</v>
      </c>
      <c r="X118" s="48"/>
    </row>
    <row r="119" spans="1:24" ht="12.75">
      <c r="A119" s="28">
        <v>107</v>
      </c>
      <c r="B119" s="185" t="s">
        <v>143</v>
      </c>
      <c r="C119" s="186"/>
      <c r="D119" s="18">
        <f>'[1]А-4'!$F$138</f>
        <v>14</v>
      </c>
      <c r="E119" s="92">
        <f>'[1]Норматив и фактически 2017'!$F$123</f>
        <v>656.354</v>
      </c>
      <c r="F119" s="112">
        <f t="shared" si="72"/>
        <v>414.79755291400994</v>
      </c>
      <c r="G119" s="70">
        <f t="shared" si="73"/>
        <v>247.30230104733272</v>
      </c>
      <c r="H119" s="70">
        <f t="shared" si="74"/>
        <v>167.49525186667722</v>
      </c>
      <c r="I119" s="26">
        <f t="shared" si="75"/>
        <v>144.79999999999998</v>
      </c>
      <c r="J119" s="26">
        <f>'[1]А-4'!G138</f>
        <v>139.6</v>
      </c>
      <c r="K119" s="26">
        <f>'[1]А-4'!$H$138</f>
        <v>5.199999999999999</v>
      </c>
      <c r="L119" s="21">
        <f>'[1]А-4'!$R$138</f>
        <v>17</v>
      </c>
      <c r="M119" s="21">
        <f>'[1]А-4'!$AD$138</f>
        <v>0</v>
      </c>
      <c r="N119" s="21">
        <f t="shared" si="76"/>
        <v>1.2177650429799427</v>
      </c>
      <c r="O119" s="21">
        <f>ROUND(M119/K119*10,3)</f>
        <v>0</v>
      </c>
      <c r="P119" s="26">
        <f t="shared" si="70"/>
        <v>0.4</v>
      </c>
      <c r="Q119" s="26">
        <f t="shared" si="77"/>
        <v>0</v>
      </c>
      <c r="R119" s="22">
        <f t="shared" si="78"/>
        <v>98</v>
      </c>
      <c r="S119" s="22">
        <f t="shared" si="78"/>
        <v>0</v>
      </c>
      <c r="T119" s="16">
        <f t="shared" si="79"/>
        <v>98</v>
      </c>
      <c r="U119" s="24">
        <f t="shared" si="80"/>
        <v>17</v>
      </c>
      <c r="V119" s="9">
        <v>25</v>
      </c>
      <c r="W119" s="24">
        <f>U119</f>
        <v>17</v>
      </c>
      <c r="X119" s="48">
        <f>T117/F117</f>
        <v>0.23776100174253023</v>
      </c>
    </row>
    <row r="120" spans="1:24" ht="12.75">
      <c r="A120" s="28">
        <v>108</v>
      </c>
      <c r="D120" s="9"/>
      <c r="E120" s="9"/>
      <c r="F120" s="9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9"/>
      <c r="U120" s="9"/>
      <c r="V120" s="9"/>
      <c r="W120" s="9"/>
      <c r="X120" s="48"/>
    </row>
    <row r="121" spans="1:24" ht="12.75">
      <c r="A121" s="28">
        <v>109</v>
      </c>
      <c r="B121" s="185"/>
      <c r="C121" s="186"/>
      <c r="D121" s="18"/>
      <c r="E121" s="92"/>
      <c r="F121" s="112"/>
      <c r="G121" s="70"/>
      <c r="H121" s="70"/>
      <c r="I121" s="26"/>
      <c r="J121" s="26"/>
      <c r="K121" s="26"/>
      <c r="L121" s="21"/>
      <c r="M121" s="21"/>
      <c r="N121" s="21"/>
      <c r="O121" s="21"/>
      <c r="P121" s="26"/>
      <c r="Q121" s="26"/>
      <c r="R121" s="22"/>
      <c r="S121" s="22"/>
      <c r="T121" s="16"/>
      <c r="U121" s="24"/>
      <c r="V121" s="9"/>
      <c r="W121" s="24"/>
      <c r="X121" s="48"/>
    </row>
    <row r="122" spans="1:24" ht="12.75">
      <c r="A122" s="28">
        <v>110</v>
      </c>
      <c r="B122" s="185"/>
      <c r="C122" s="186"/>
      <c r="D122" s="18"/>
      <c r="E122" s="92"/>
      <c r="F122" s="112"/>
      <c r="G122" s="70"/>
      <c r="H122" s="70"/>
      <c r="I122" s="26"/>
      <c r="J122" s="26"/>
      <c r="K122" s="26"/>
      <c r="L122" s="21"/>
      <c r="M122" s="21"/>
      <c r="N122" s="21"/>
      <c r="O122" s="21"/>
      <c r="P122" s="26"/>
      <c r="Q122" s="26"/>
      <c r="R122" s="22"/>
      <c r="S122" s="22"/>
      <c r="T122" s="16"/>
      <c r="U122" s="24"/>
      <c r="V122" s="9"/>
      <c r="W122" s="24"/>
      <c r="X122" s="48"/>
    </row>
    <row r="123" spans="1:24" ht="12.75">
      <c r="A123" s="28">
        <v>111</v>
      </c>
      <c r="B123" s="197"/>
      <c r="C123" s="198"/>
      <c r="D123" s="18"/>
      <c r="E123" s="92"/>
      <c r="F123" s="112"/>
      <c r="G123" s="70"/>
      <c r="H123" s="70"/>
      <c r="I123" s="26"/>
      <c r="J123" s="26"/>
      <c r="K123" s="26"/>
      <c r="L123" s="21"/>
      <c r="M123" s="21"/>
      <c r="N123" s="21"/>
      <c r="O123" s="21"/>
      <c r="P123" s="26"/>
      <c r="Q123" s="26"/>
      <c r="R123" s="22"/>
      <c r="S123" s="22"/>
      <c r="T123" s="16"/>
      <c r="U123" s="24"/>
      <c r="V123" s="9"/>
      <c r="W123" s="24"/>
      <c r="X123" s="48"/>
    </row>
    <row r="124" spans="1:24" ht="12.75">
      <c r="A124" s="28">
        <v>112</v>
      </c>
      <c r="B124" s="197"/>
      <c r="C124" s="198"/>
      <c r="D124" s="18"/>
      <c r="E124" s="92"/>
      <c r="F124" s="112"/>
      <c r="G124" s="70"/>
      <c r="H124" s="70"/>
      <c r="I124" s="26"/>
      <c r="J124" s="26"/>
      <c r="K124" s="26"/>
      <c r="L124" s="21"/>
      <c r="M124" s="21"/>
      <c r="N124" s="21"/>
      <c r="O124" s="21"/>
      <c r="P124" s="26"/>
      <c r="Q124" s="26"/>
      <c r="R124" s="22"/>
      <c r="S124" s="22"/>
      <c r="T124" s="16"/>
      <c r="U124" s="24"/>
      <c r="V124" s="9"/>
      <c r="W124" s="24"/>
      <c r="X124" s="48"/>
    </row>
    <row r="125" spans="1:30" ht="27" customHeight="1">
      <c r="A125" s="199" t="s">
        <v>128</v>
      </c>
      <c r="B125" s="200"/>
      <c r="C125" s="201"/>
      <c r="D125" s="120">
        <f aca="true" t="shared" si="81" ref="D125:M125">SUM(D126:D137)</f>
        <v>48</v>
      </c>
      <c r="E125" s="74">
        <f t="shared" si="81"/>
        <v>3547.2970000000005</v>
      </c>
      <c r="F125" s="74">
        <f t="shared" si="81"/>
        <v>2312.9999999999995</v>
      </c>
      <c r="G125" s="120">
        <f t="shared" si="81"/>
        <v>1790.9558999999997</v>
      </c>
      <c r="H125" s="120">
        <f t="shared" si="81"/>
        <v>522.0441</v>
      </c>
      <c r="I125" s="120">
        <f t="shared" si="81"/>
        <v>527.51</v>
      </c>
      <c r="J125" s="120">
        <f t="shared" si="81"/>
        <v>420.21</v>
      </c>
      <c r="K125" s="120">
        <f t="shared" si="81"/>
        <v>107.3</v>
      </c>
      <c r="L125" s="120">
        <f t="shared" si="81"/>
        <v>618</v>
      </c>
      <c r="M125" s="74">
        <f t="shared" si="81"/>
        <v>0</v>
      </c>
      <c r="N125" s="74">
        <f>ROUND(L125/J125*10,2)</f>
        <v>14.71</v>
      </c>
      <c r="O125" s="74">
        <f>ROUND(M125/K125*10,2)</f>
        <v>0</v>
      </c>
      <c r="P125" s="76">
        <f aca="true" t="shared" si="82" ref="P125:P137">ROUND(N125*$M$5,1)</f>
        <v>5.1</v>
      </c>
      <c r="Q125" s="74">
        <f>ROUND(O125*$M$5,2)</f>
        <v>0</v>
      </c>
      <c r="R125" s="73">
        <f aca="true" t="shared" si="83" ref="R125:W125">SUM(R126:R137)</f>
        <v>2794</v>
      </c>
      <c r="S125" s="77">
        <f t="shared" si="83"/>
        <v>0</v>
      </c>
      <c r="T125" s="77">
        <f t="shared" si="83"/>
        <v>2794</v>
      </c>
      <c r="U125" s="77">
        <f t="shared" si="83"/>
        <v>498</v>
      </c>
      <c r="V125" s="77">
        <f t="shared" si="83"/>
        <v>141</v>
      </c>
      <c r="W125" s="77">
        <f t="shared" si="83"/>
        <v>375</v>
      </c>
      <c r="X125" s="48">
        <f aca="true" t="shared" si="84" ref="X125:X137">T125/F125</f>
        <v>1.2079550367488112</v>
      </c>
      <c r="Y125" s="54">
        <f>2313/E125</f>
        <v>0.6520457689333596</v>
      </c>
      <c r="AB125">
        <v>2546</v>
      </c>
      <c r="AD125" s="20">
        <f>AB125-T125</f>
        <v>-248</v>
      </c>
    </row>
    <row r="126" spans="1:24" ht="12.75">
      <c r="A126" s="119">
        <v>113</v>
      </c>
      <c r="B126" s="8" t="s">
        <v>34</v>
      </c>
      <c r="C126" s="9"/>
      <c r="D126" s="18">
        <f>'[1]А-4'!$F$150</f>
        <v>2</v>
      </c>
      <c r="E126" s="95">
        <f>'[1]Норматив и фактически 2017'!$F$131</f>
        <v>46.194</v>
      </c>
      <c r="F126" s="112">
        <f aca="true" t="shared" si="85" ref="F126:F137">E126*$Y$125</f>
        <v>30.120602250107616</v>
      </c>
      <c r="G126" s="70">
        <f aca="true" t="shared" si="86" ref="G126:G137">F126*0.7743</f>
        <v>23.322382322258328</v>
      </c>
      <c r="H126" s="70">
        <f aca="true" t="shared" si="87" ref="H126:H137">F126*0.2257</f>
        <v>6.798219927849289</v>
      </c>
      <c r="I126" s="26">
        <f aca="true" t="shared" si="88" ref="I126:I137">J126+K126</f>
        <v>20.900000000000002</v>
      </c>
      <c r="J126" s="26">
        <f>'[1]А-4'!G150</f>
        <v>16.1</v>
      </c>
      <c r="K126" s="26">
        <f>'[1]А-4'!H150</f>
        <v>4.8</v>
      </c>
      <c r="L126" s="21">
        <f>'[1]А-4'!R150</f>
        <v>23</v>
      </c>
      <c r="M126" s="21">
        <f>'[1]А-4'!AD150</f>
        <v>0</v>
      </c>
      <c r="N126" s="21">
        <f aca="true" t="shared" si="89" ref="N126:N137">ROUND(L126/J126*10,1)</f>
        <v>14.3</v>
      </c>
      <c r="O126" s="21">
        <f>ROUND(M126/K126*10,3)</f>
        <v>0</v>
      </c>
      <c r="P126" s="26">
        <f t="shared" si="82"/>
        <v>5</v>
      </c>
      <c r="Q126" s="26">
        <f aca="true" t="shared" si="90" ref="Q126:Q137">ROUND(O126*$M$5,1)</f>
        <v>0</v>
      </c>
      <c r="R126" s="22">
        <f aca="true" t="shared" si="91" ref="R126:R137">ROUNDDOWN((P126*G126),0)</f>
        <v>116</v>
      </c>
      <c r="S126" s="22">
        <f aca="true" t="shared" si="92" ref="S126:S137">ROUNDDOWN((Q126*H126),0)</f>
        <v>0</v>
      </c>
      <c r="T126" s="16">
        <f aca="true" t="shared" si="93" ref="T126:T137">R126+S126</f>
        <v>116</v>
      </c>
      <c r="U126" s="24">
        <f>ROUNDDOWN(IF(T126&lt;$O$3,"0",T126*18/100),0)</f>
        <v>20</v>
      </c>
      <c r="V126" s="9">
        <v>4</v>
      </c>
      <c r="W126" s="24">
        <f aca="true" t="shared" si="94" ref="W126:W137">IF(V126&lt;=U126,V126,U126)</f>
        <v>4</v>
      </c>
      <c r="X126" s="48">
        <f t="shared" si="84"/>
        <v>3.851184615659056</v>
      </c>
    </row>
    <row r="127" spans="1:24" ht="12.75">
      <c r="A127" s="119">
        <v>114</v>
      </c>
      <c r="B127" s="8" t="s">
        <v>21</v>
      </c>
      <c r="C127" s="9"/>
      <c r="D127" s="18">
        <f>'[1]А-4'!$F$151</f>
        <v>0</v>
      </c>
      <c r="E127" s="95">
        <f>'[1]Норматив и фактически 2017'!$F$132</f>
        <v>37</v>
      </c>
      <c r="F127" s="112">
        <f t="shared" si="85"/>
        <v>24.125693450534307</v>
      </c>
      <c r="G127" s="70">
        <f t="shared" si="86"/>
        <v>18.680524438748712</v>
      </c>
      <c r="H127" s="70">
        <f t="shared" si="87"/>
        <v>5.445169011785594</v>
      </c>
      <c r="I127" s="26">
        <f t="shared" si="88"/>
        <v>0</v>
      </c>
      <c r="J127" s="26">
        <f>'[1]А-4'!G151</f>
        <v>0</v>
      </c>
      <c r="K127" s="26">
        <f>'[1]А-4'!H151</f>
        <v>0</v>
      </c>
      <c r="L127" s="21">
        <f>'[1]А-4'!R151</f>
        <v>0</v>
      </c>
      <c r="M127" s="21">
        <f>'[1]А-4'!AD151</f>
        <v>0</v>
      </c>
      <c r="N127" s="21"/>
      <c r="O127" s="21"/>
      <c r="P127" s="26">
        <f t="shared" si="82"/>
        <v>0</v>
      </c>
      <c r="Q127" s="26">
        <f t="shared" si="90"/>
        <v>0</v>
      </c>
      <c r="R127" s="22">
        <f t="shared" si="91"/>
        <v>0</v>
      </c>
      <c r="S127" s="22">
        <f t="shared" si="92"/>
        <v>0</v>
      </c>
      <c r="T127" s="16">
        <f t="shared" si="93"/>
        <v>0</v>
      </c>
      <c r="U127" s="24">
        <f aca="true" t="shared" si="95" ref="U127:U137">ROUNDDOWN(IF(T127&lt;$O$3,"0",T127*18/100),0)</f>
        <v>0</v>
      </c>
      <c r="V127" s="9">
        <v>0</v>
      </c>
      <c r="W127" s="24">
        <f t="shared" si="94"/>
        <v>0</v>
      </c>
      <c r="X127" s="48">
        <f t="shared" si="84"/>
        <v>0</v>
      </c>
    </row>
    <row r="128" spans="1:24" ht="12.75">
      <c r="A128" s="119">
        <v>115</v>
      </c>
      <c r="B128" s="185" t="s">
        <v>72</v>
      </c>
      <c r="C128" s="186"/>
      <c r="D128" s="18">
        <f>'[1]А-4'!$F$152</f>
        <v>22</v>
      </c>
      <c r="E128" s="95">
        <f>'[1]Норматив и фактически 2017'!$F$133</f>
        <v>1230.0175</v>
      </c>
      <c r="F128" s="112">
        <f t="shared" si="85"/>
        <v>802.0277065889886</v>
      </c>
      <c r="G128" s="70">
        <f t="shared" si="86"/>
        <v>621.0100532118539</v>
      </c>
      <c r="H128" s="70">
        <f t="shared" si="87"/>
        <v>181.01765337713474</v>
      </c>
      <c r="I128" s="26">
        <f t="shared" si="88"/>
        <v>251.46999999999997</v>
      </c>
      <c r="J128" s="26">
        <f>'[1]А-4'!G152</f>
        <v>164.36999999999998</v>
      </c>
      <c r="K128" s="26">
        <f>'[1]А-4'!H152</f>
        <v>87.1</v>
      </c>
      <c r="L128" s="21">
        <f>'[1]А-4'!R152</f>
        <v>97</v>
      </c>
      <c r="M128" s="21">
        <f>'[1]А-4'!AD152</f>
        <v>0</v>
      </c>
      <c r="N128" s="21">
        <f t="shared" si="89"/>
        <v>5.9</v>
      </c>
      <c r="O128" s="21">
        <f>ROUND(M128/K128*10,3)</f>
        <v>0</v>
      </c>
      <c r="P128" s="26">
        <f t="shared" si="82"/>
        <v>2.1</v>
      </c>
      <c r="Q128" s="26">
        <f t="shared" si="90"/>
        <v>0</v>
      </c>
      <c r="R128" s="22">
        <f t="shared" si="91"/>
        <v>1304</v>
      </c>
      <c r="S128" s="22">
        <f t="shared" si="92"/>
        <v>0</v>
      </c>
      <c r="T128" s="16">
        <f t="shared" si="93"/>
        <v>1304</v>
      </c>
      <c r="U128" s="24">
        <f t="shared" si="95"/>
        <v>234</v>
      </c>
      <c r="V128" s="9"/>
      <c r="W128" s="24">
        <v>234</v>
      </c>
      <c r="X128" s="48">
        <f t="shared" si="84"/>
        <v>1.625878993066077</v>
      </c>
    </row>
    <row r="129" spans="1:24" ht="12.75">
      <c r="A129" s="119">
        <v>116</v>
      </c>
      <c r="B129" s="8" t="s">
        <v>48</v>
      </c>
      <c r="C129" s="9"/>
      <c r="D129" s="18">
        <f>'[1]А-4'!$F$153</f>
        <v>1</v>
      </c>
      <c r="E129" s="95">
        <f>'[1]Норматив и фактически 2017'!$F$134</f>
        <v>165.121</v>
      </c>
      <c r="F129" s="112">
        <f t="shared" si="85"/>
        <v>107.66644941204528</v>
      </c>
      <c r="G129" s="70">
        <f t="shared" si="86"/>
        <v>83.36613177974667</v>
      </c>
      <c r="H129" s="70">
        <f t="shared" si="87"/>
        <v>24.300317632298622</v>
      </c>
      <c r="I129" s="26">
        <f t="shared" si="88"/>
        <v>6.1</v>
      </c>
      <c r="J129" s="26">
        <f>'[1]А-4'!G153</f>
        <v>6.1</v>
      </c>
      <c r="K129" s="26">
        <f>'[1]А-4'!H153</f>
        <v>0</v>
      </c>
      <c r="L129" s="21">
        <f>'[1]А-4'!R153</f>
        <v>7</v>
      </c>
      <c r="M129" s="21">
        <f>'[1]А-4'!AD153</f>
        <v>0</v>
      </c>
      <c r="N129" s="21">
        <f t="shared" si="89"/>
        <v>11.5</v>
      </c>
      <c r="O129" s="21"/>
      <c r="P129" s="26">
        <f t="shared" si="82"/>
        <v>4</v>
      </c>
      <c r="Q129" s="26">
        <f t="shared" si="90"/>
        <v>0</v>
      </c>
      <c r="R129" s="22">
        <f t="shared" si="91"/>
        <v>333</v>
      </c>
      <c r="S129" s="22">
        <f t="shared" si="92"/>
        <v>0</v>
      </c>
      <c r="T129" s="16">
        <f t="shared" si="93"/>
        <v>333</v>
      </c>
      <c r="U129" s="24">
        <f t="shared" si="95"/>
        <v>59</v>
      </c>
      <c r="V129" s="9">
        <v>40</v>
      </c>
      <c r="W129" s="24">
        <f t="shared" si="94"/>
        <v>40</v>
      </c>
      <c r="X129" s="48">
        <f t="shared" si="84"/>
        <v>3.0928854979288034</v>
      </c>
    </row>
    <row r="130" spans="1:24" ht="12.75">
      <c r="A130" s="119">
        <v>117</v>
      </c>
      <c r="B130" s="8" t="s">
        <v>49</v>
      </c>
      <c r="C130" s="9"/>
      <c r="D130" s="18">
        <f>'[1]А-4'!$F$154</f>
        <v>0</v>
      </c>
      <c r="E130" s="95">
        <f>'[1]Норматив и фактически 2017'!$F$135</f>
        <v>175.227</v>
      </c>
      <c r="F130" s="112">
        <f t="shared" si="85"/>
        <v>114.25602395288581</v>
      </c>
      <c r="G130" s="70">
        <f t="shared" si="86"/>
        <v>88.46843934671948</v>
      </c>
      <c r="H130" s="70">
        <f t="shared" si="87"/>
        <v>25.78758460616633</v>
      </c>
      <c r="I130" s="26">
        <f t="shared" si="88"/>
        <v>0</v>
      </c>
      <c r="J130" s="26">
        <f>'[1]А-4'!G154</f>
        <v>0</v>
      </c>
      <c r="K130" s="26">
        <f>'[1]А-4'!H154</f>
        <v>0</v>
      </c>
      <c r="L130" s="21">
        <f>'[1]А-4'!R154</f>
        <v>0</v>
      </c>
      <c r="M130" s="21">
        <f>'[1]А-4'!AD154</f>
        <v>0</v>
      </c>
      <c r="N130" s="21"/>
      <c r="O130" s="21"/>
      <c r="P130" s="26">
        <f t="shared" si="82"/>
        <v>0</v>
      </c>
      <c r="Q130" s="26">
        <f t="shared" si="90"/>
        <v>0</v>
      </c>
      <c r="R130" s="22">
        <f t="shared" si="91"/>
        <v>0</v>
      </c>
      <c r="S130" s="22">
        <f t="shared" si="92"/>
        <v>0</v>
      </c>
      <c r="T130" s="16">
        <f t="shared" si="93"/>
        <v>0</v>
      </c>
      <c r="U130" s="24">
        <f t="shared" si="95"/>
        <v>0</v>
      </c>
      <c r="V130" s="9">
        <v>0</v>
      </c>
      <c r="W130" s="24">
        <f t="shared" si="94"/>
        <v>0</v>
      </c>
      <c r="X130" s="48">
        <f t="shared" si="84"/>
        <v>0</v>
      </c>
    </row>
    <row r="131" spans="1:24" ht="12.75">
      <c r="A131" s="119">
        <v>118</v>
      </c>
      <c r="B131" s="8" t="s">
        <v>50</v>
      </c>
      <c r="C131" s="9"/>
      <c r="D131" s="18">
        <f>'[1]А-4'!$F$155</f>
        <v>6</v>
      </c>
      <c r="E131" s="95">
        <f>'[1]Норматив и фактически 2017'!$F$136</f>
        <v>338.165</v>
      </c>
      <c r="F131" s="112">
        <f t="shared" si="85"/>
        <v>220.4990574513496</v>
      </c>
      <c r="G131" s="70">
        <f t="shared" si="86"/>
        <v>170.73242018457998</v>
      </c>
      <c r="H131" s="70">
        <f t="shared" si="87"/>
        <v>49.76663726676961</v>
      </c>
      <c r="I131" s="26">
        <f t="shared" si="88"/>
        <v>60</v>
      </c>
      <c r="J131" s="26">
        <f>'[1]А-4'!G155</f>
        <v>60</v>
      </c>
      <c r="K131" s="26">
        <f>'[1]А-4'!H155</f>
        <v>0</v>
      </c>
      <c r="L131" s="21">
        <f>'[1]А-4'!R155</f>
        <v>17</v>
      </c>
      <c r="M131" s="21">
        <f>'[1]А-4'!AD155</f>
        <v>0</v>
      </c>
      <c r="N131" s="21">
        <f t="shared" si="89"/>
        <v>2.8</v>
      </c>
      <c r="O131" s="21"/>
      <c r="P131" s="26">
        <f t="shared" si="82"/>
        <v>1</v>
      </c>
      <c r="Q131" s="26">
        <f t="shared" si="90"/>
        <v>0</v>
      </c>
      <c r="R131" s="22">
        <f t="shared" si="91"/>
        <v>170</v>
      </c>
      <c r="S131" s="22">
        <f t="shared" si="92"/>
        <v>0</v>
      </c>
      <c r="T131" s="16">
        <f t="shared" si="93"/>
        <v>170</v>
      </c>
      <c r="U131" s="24">
        <f t="shared" si="95"/>
        <v>30</v>
      </c>
      <c r="V131" s="9">
        <v>22</v>
      </c>
      <c r="W131" s="24">
        <f t="shared" si="94"/>
        <v>22</v>
      </c>
      <c r="X131" s="48">
        <f t="shared" si="84"/>
        <v>0.7709783523111359</v>
      </c>
    </row>
    <row r="132" spans="1:24" ht="12.75">
      <c r="A132" s="119">
        <v>119</v>
      </c>
      <c r="B132" s="8" t="s">
        <v>51</v>
      </c>
      <c r="C132" s="9"/>
      <c r="D132" s="18">
        <f>'[1]А-4'!$F$156</f>
        <v>5</v>
      </c>
      <c r="E132" s="95">
        <f>'[1]Норматив и фактически 2017'!$F$137</f>
        <v>622.984</v>
      </c>
      <c r="F132" s="112">
        <f t="shared" si="85"/>
        <v>406.21408131318015</v>
      </c>
      <c r="G132" s="70">
        <f t="shared" si="86"/>
        <v>314.5315631607954</v>
      </c>
      <c r="H132" s="70">
        <f t="shared" si="87"/>
        <v>91.68251815238476</v>
      </c>
      <c r="I132" s="26">
        <f t="shared" si="88"/>
        <v>50</v>
      </c>
      <c r="J132" s="26">
        <f>'[1]А-4'!G156</f>
        <v>50</v>
      </c>
      <c r="K132" s="26">
        <f>'[1]А-4'!H156</f>
        <v>0</v>
      </c>
      <c r="L132" s="21">
        <f>'[1]А-4'!R156</f>
        <v>13</v>
      </c>
      <c r="M132" s="21">
        <f>'[1]А-4'!AD156</f>
        <v>0</v>
      </c>
      <c r="N132" s="21">
        <f t="shared" si="89"/>
        <v>2.6</v>
      </c>
      <c r="O132" s="21"/>
      <c r="P132" s="26">
        <f t="shared" si="82"/>
        <v>0.9</v>
      </c>
      <c r="Q132" s="26">
        <f t="shared" si="90"/>
        <v>0</v>
      </c>
      <c r="R132" s="22">
        <f t="shared" si="91"/>
        <v>283</v>
      </c>
      <c r="S132" s="22">
        <f t="shared" si="92"/>
        <v>0</v>
      </c>
      <c r="T132" s="16">
        <f t="shared" si="93"/>
        <v>283</v>
      </c>
      <c r="U132" s="24">
        <f t="shared" si="95"/>
        <v>50</v>
      </c>
      <c r="V132" s="9">
        <v>20</v>
      </c>
      <c r="W132" s="24">
        <f t="shared" si="94"/>
        <v>20</v>
      </c>
      <c r="X132" s="48">
        <f t="shared" si="84"/>
        <v>0.6966769814703065</v>
      </c>
    </row>
    <row r="133" spans="1:24" ht="12.75">
      <c r="A133" s="119">
        <v>120</v>
      </c>
      <c r="B133" s="40" t="s">
        <v>57</v>
      </c>
      <c r="C133" s="41"/>
      <c r="D133" s="18">
        <f>'[1]А-4'!$F$157</f>
        <v>5</v>
      </c>
      <c r="E133" s="95">
        <f>'[1]Норматив и фактически 2017'!$F$138</f>
        <v>225.0354</v>
      </c>
      <c r="F133" s="112">
        <f t="shared" si="85"/>
        <v>146.73338043022616</v>
      </c>
      <c r="G133" s="70">
        <f t="shared" si="86"/>
        <v>113.61565646712411</v>
      </c>
      <c r="H133" s="70">
        <f t="shared" si="87"/>
        <v>33.117723963102044</v>
      </c>
      <c r="I133" s="26">
        <f t="shared" si="88"/>
        <v>57.2</v>
      </c>
      <c r="J133" s="26">
        <f>'[1]А-4'!G157</f>
        <v>44.1</v>
      </c>
      <c r="K133" s="26">
        <f>'[1]А-4'!H157</f>
        <v>13.100000000000001</v>
      </c>
      <c r="L133" s="21">
        <f>'[1]А-4'!R157</f>
        <v>32</v>
      </c>
      <c r="M133" s="21">
        <f>'[1]А-4'!AD157</f>
        <v>0</v>
      </c>
      <c r="N133" s="21">
        <f t="shared" si="89"/>
        <v>7.3</v>
      </c>
      <c r="O133" s="21">
        <f>ROUND(M133/K133*10,3)</f>
        <v>0</v>
      </c>
      <c r="P133" s="26">
        <f t="shared" si="82"/>
        <v>2.6</v>
      </c>
      <c r="Q133" s="26">
        <f t="shared" si="90"/>
        <v>0</v>
      </c>
      <c r="R133" s="22">
        <f t="shared" si="91"/>
        <v>295</v>
      </c>
      <c r="S133" s="22">
        <f t="shared" si="92"/>
        <v>0</v>
      </c>
      <c r="T133" s="16">
        <f t="shared" si="93"/>
        <v>295</v>
      </c>
      <c r="U133" s="24">
        <f t="shared" si="95"/>
        <v>53</v>
      </c>
      <c r="V133" s="9">
        <v>20</v>
      </c>
      <c r="W133" s="24">
        <f t="shared" si="94"/>
        <v>20</v>
      </c>
      <c r="X133" s="48">
        <f t="shared" si="84"/>
        <v>2.0104491502550554</v>
      </c>
    </row>
    <row r="134" spans="1:24" ht="12.75">
      <c r="A134" s="119">
        <v>121</v>
      </c>
      <c r="B134" s="185" t="s">
        <v>144</v>
      </c>
      <c r="C134" s="186"/>
      <c r="D134" s="18">
        <f>'[1]А-4'!$F$158</f>
        <v>0</v>
      </c>
      <c r="E134" s="95">
        <f>'[1]Норматив и фактически 2017'!$F$139</f>
        <v>296.717</v>
      </c>
      <c r="F134" s="112">
        <f t="shared" si="85"/>
        <v>193.47306442059966</v>
      </c>
      <c r="G134" s="70">
        <f t="shared" si="86"/>
        <v>149.8061937808703</v>
      </c>
      <c r="H134" s="70">
        <f t="shared" si="87"/>
        <v>43.666870639729346</v>
      </c>
      <c r="I134" s="26">
        <f t="shared" si="88"/>
        <v>0</v>
      </c>
      <c r="J134" s="26">
        <f>'[1]А-4'!G158</f>
        <v>0</v>
      </c>
      <c r="K134" s="26">
        <f>'[1]А-4'!H158</f>
        <v>0</v>
      </c>
      <c r="L134" s="21">
        <f>'[1]А-4'!R158</f>
        <v>0</v>
      </c>
      <c r="M134" s="21">
        <f>'[1]А-4'!AD158</f>
        <v>0</v>
      </c>
      <c r="N134" s="21"/>
      <c r="O134" s="21"/>
      <c r="P134" s="26">
        <f t="shared" si="82"/>
        <v>0</v>
      </c>
      <c r="Q134" s="26">
        <f t="shared" si="90"/>
        <v>0</v>
      </c>
      <c r="R134" s="22">
        <f t="shared" si="91"/>
        <v>0</v>
      </c>
      <c r="S134" s="22">
        <f t="shared" si="92"/>
        <v>0</v>
      </c>
      <c r="T134" s="16">
        <f t="shared" si="93"/>
        <v>0</v>
      </c>
      <c r="U134" s="24">
        <f t="shared" si="95"/>
        <v>0</v>
      </c>
      <c r="V134" s="9"/>
      <c r="W134" s="24">
        <f t="shared" si="94"/>
        <v>0</v>
      </c>
      <c r="X134" s="48">
        <f t="shared" si="84"/>
        <v>0</v>
      </c>
    </row>
    <row r="135" spans="1:24" ht="12.75">
      <c r="A135" s="119">
        <v>122</v>
      </c>
      <c r="B135" s="90" t="s">
        <v>58</v>
      </c>
      <c r="C135" s="117"/>
      <c r="D135" s="18">
        <f>'[1]А-4'!$F$159</f>
        <v>0</v>
      </c>
      <c r="E135" s="95">
        <f>'[1]Норматив и фактически 2017'!$F$140</f>
        <v>14.267</v>
      </c>
      <c r="F135" s="112">
        <f t="shared" si="85"/>
        <v>9.302736985372242</v>
      </c>
      <c r="G135" s="70">
        <f t="shared" si="86"/>
        <v>7.203109247773726</v>
      </c>
      <c r="H135" s="70">
        <f t="shared" si="87"/>
        <v>2.099627737598515</v>
      </c>
      <c r="I135" s="26">
        <f t="shared" si="88"/>
        <v>0</v>
      </c>
      <c r="J135" s="26">
        <f>'[1]А-4'!G159</f>
        <v>0</v>
      </c>
      <c r="K135" s="26">
        <f>'[1]А-4'!H159</f>
        <v>0</v>
      </c>
      <c r="L135" s="21">
        <f>'[1]А-4'!R59</f>
        <v>395</v>
      </c>
      <c r="M135" s="21">
        <f>'[1]А-4'!AD159</f>
        <v>0</v>
      </c>
      <c r="N135" s="21"/>
      <c r="O135" s="21"/>
      <c r="P135" s="26">
        <f t="shared" si="82"/>
        <v>0</v>
      </c>
      <c r="Q135" s="26">
        <f t="shared" si="90"/>
        <v>0</v>
      </c>
      <c r="R135" s="22">
        <f t="shared" si="91"/>
        <v>0</v>
      </c>
      <c r="S135" s="22">
        <f t="shared" si="92"/>
        <v>0</v>
      </c>
      <c r="T135" s="16">
        <f t="shared" si="93"/>
        <v>0</v>
      </c>
      <c r="U135" s="24">
        <f t="shared" si="95"/>
        <v>0</v>
      </c>
      <c r="V135" s="9">
        <v>0</v>
      </c>
      <c r="W135" s="24">
        <f t="shared" si="94"/>
        <v>0</v>
      </c>
      <c r="X135" s="48">
        <f t="shared" si="84"/>
        <v>0</v>
      </c>
    </row>
    <row r="136" spans="1:24" ht="12.75">
      <c r="A136" s="119">
        <v>123</v>
      </c>
      <c r="B136" s="42" t="s">
        <v>73</v>
      </c>
      <c r="C136" s="43"/>
      <c r="D136" s="18">
        <f>'[1]А-4'!$F$160</f>
        <v>3</v>
      </c>
      <c r="E136" s="95">
        <f>'[1]Норматив и фактически 2017'!$F$141</f>
        <v>139.5626</v>
      </c>
      <c r="F136" s="112">
        <f t="shared" si="85"/>
        <v>91.0012028313389</v>
      </c>
      <c r="G136" s="70">
        <f t="shared" si="86"/>
        <v>70.46223135230571</v>
      </c>
      <c r="H136" s="70">
        <f t="shared" si="87"/>
        <v>20.53897147903319</v>
      </c>
      <c r="I136" s="26">
        <f t="shared" si="88"/>
        <v>35.89999999999999</v>
      </c>
      <c r="J136" s="26">
        <f>'[1]А-4'!G160</f>
        <v>33.599999999999994</v>
      </c>
      <c r="K136" s="26">
        <f>'[1]А-4'!H160</f>
        <v>2.3</v>
      </c>
      <c r="L136" s="21">
        <f>'[1]А-4'!R160</f>
        <v>15</v>
      </c>
      <c r="M136" s="21">
        <f>'[1]А-4'!AD160</f>
        <v>0</v>
      </c>
      <c r="N136" s="21">
        <f t="shared" si="89"/>
        <v>4.5</v>
      </c>
      <c r="O136" s="21">
        <f>ROUND(M136/K136*10,3)</f>
        <v>0</v>
      </c>
      <c r="P136" s="26">
        <f t="shared" si="82"/>
        <v>1.6</v>
      </c>
      <c r="Q136" s="26">
        <f t="shared" si="90"/>
        <v>0</v>
      </c>
      <c r="R136" s="22">
        <f t="shared" si="91"/>
        <v>112</v>
      </c>
      <c r="S136" s="22">
        <f t="shared" si="92"/>
        <v>0</v>
      </c>
      <c r="T136" s="16">
        <f t="shared" si="93"/>
        <v>112</v>
      </c>
      <c r="U136" s="24">
        <f t="shared" si="95"/>
        <v>20</v>
      </c>
      <c r="V136" s="9">
        <v>10</v>
      </c>
      <c r="W136" s="24">
        <f t="shared" si="94"/>
        <v>10</v>
      </c>
      <c r="X136" s="48">
        <f t="shared" si="84"/>
        <v>1.2307529627666587</v>
      </c>
    </row>
    <row r="137" spans="1:24" ht="12.75">
      <c r="A137" s="119">
        <v>124</v>
      </c>
      <c r="B137" s="177" t="s">
        <v>74</v>
      </c>
      <c r="C137" s="188"/>
      <c r="D137" s="18">
        <f>'[1]А-4'!$F$161</f>
        <v>4</v>
      </c>
      <c r="E137" s="95">
        <f>'[1]Норматив и фактически 2017'!$F$142</f>
        <v>257.0065</v>
      </c>
      <c r="F137" s="112">
        <f t="shared" si="85"/>
        <v>167.5800009133715</v>
      </c>
      <c r="G137" s="70">
        <f t="shared" si="86"/>
        <v>129.75719470722353</v>
      </c>
      <c r="H137" s="70">
        <f t="shared" si="87"/>
        <v>37.822806206147945</v>
      </c>
      <c r="I137" s="26">
        <f t="shared" si="88"/>
        <v>45.94</v>
      </c>
      <c r="J137" s="26">
        <f>'[1]А-4'!G161</f>
        <v>45.94</v>
      </c>
      <c r="K137" s="26">
        <f>'[1]А-4'!H161</f>
        <v>0</v>
      </c>
      <c r="L137" s="21">
        <f>'[1]А-4'!R161</f>
        <v>19</v>
      </c>
      <c r="M137" s="21">
        <f>'[1]А-4'!AD161</f>
        <v>0</v>
      </c>
      <c r="N137" s="21">
        <f t="shared" si="89"/>
        <v>4.1</v>
      </c>
      <c r="O137" s="21"/>
      <c r="P137" s="26">
        <f t="shared" si="82"/>
        <v>1.4</v>
      </c>
      <c r="Q137" s="26">
        <f t="shared" si="90"/>
        <v>0</v>
      </c>
      <c r="R137" s="22">
        <f t="shared" si="91"/>
        <v>181</v>
      </c>
      <c r="S137" s="22">
        <f t="shared" si="92"/>
        <v>0</v>
      </c>
      <c r="T137" s="16">
        <f t="shared" si="93"/>
        <v>181</v>
      </c>
      <c r="U137" s="24">
        <f t="shared" si="95"/>
        <v>32</v>
      </c>
      <c r="V137" s="9">
        <v>25</v>
      </c>
      <c r="W137" s="24">
        <f t="shared" si="94"/>
        <v>25</v>
      </c>
      <c r="X137" s="48">
        <f t="shared" si="84"/>
        <v>1.080081149382293</v>
      </c>
    </row>
    <row r="138" spans="1:24" ht="12.75">
      <c r="A138" s="119">
        <v>125</v>
      </c>
      <c r="B138" s="118"/>
      <c r="C138" s="43"/>
      <c r="D138" s="18"/>
      <c r="E138" s="95"/>
      <c r="F138" s="112"/>
      <c r="G138" s="70"/>
      <c r="H138" s="70"/>
      <c r="I138" s="26"/>
      <c r="J138" s="26"/>
      <c r="K138" s="26"/>
      <c r="L138" s="21"/>
      <c r="M138" s="21"/>
      <c r="N138" s="21"/>
      <c r="O138" s="21"/>
      <c r="P138" s="26"/>
      <c r="Q138" s="26"/>
      <c r="R138" s="22"/>
      <c r="S138" s="22"/>
      <c r="T138" s="16"/>
      <c r="U138" s="24"/>
      <c r="V138" s="9"/>
      <c r="W138" s="24"/>
      <c r="X138" s="48"/>
    </row>
    <row r="139" spans="1:24" ht="12.75">
      <c r="A139" s="119">
        <v>126</v>
      </c>
      <c r="B139" s="118"/>
      <c r="C139" s="43"/>
      <c r="D139" s="18"/>
      <c r="E139" s="95"/>
      <c r="F139" s="112"/>
      <c r="G139" s="70"/>
      <c r="H139" s="70"/>
      <c r="I139" s="26"/>
      <c r="J139" s="26"/>
      <c r="K139" s="26"/>
      <c r="L139" s="21"/>
      <c r="M139" s="21"/>
      <c r="N139" s="21"/>
      <c r="O139" s="21"/>
      <c r="P139" s="26"/>
      <c r="Q139" s="26"/>
      <c r="R139" s="22"/>
      <c r="S139" s="22"/>
      <c r="T139" s="16"/>
      <c r="U139" s="24"/>
      <c r="V139" s="9"/>
      <c r="W139" s="24"/>
      <c r="X139" s="48"/>
    </row>
    <row r="140" spans="1:24" ht="12.75">
      <c r="A140" s="119">
        <v>127</v>
      </c>
      <c r="B140" s="118"/>
      <c r="C140" s="43"/>
      <c r="D140" s="18"/>
      <c r="E140" s="95"/>
      <c r="F140" s="112"/>
      <c r="G140" s="70"/>
      <c r="H140" s="70"/>
      <c r="I140" s="26"/>
      <c r="J140" s="26"/>
      <c r="K140" s="26"/>
      <c r="L140" s="21"/>
      <c r="M140" s="21"/>
      <c r="N140" s="21"/>
      <c r="O140" s="21"/>
      <c r="P140" s="26"/>
      <c r="Q140" s="26"/>
      <c r="R140" s="22"/>
      <c r="S140" s="22"/>
      <c r="T140" s="16"/>
      <c r="U140" s="24"/>
      <c r="V140" s="9"/>
      <c r="W140" s="24"/>
      <c r="X140" s="48"/>
    </row>
    <row r="141" spans="1:25" ht="18">
      <c r="A141" s="199" t="s">
        <v>91</v>
      </c>
      <c r="B141" s="200"/>
      <c r="C141" s="201"/>
      <c r="D141" s="120">
        <f aca="true" t="shared" si="96" ref="D141:M141">SUM(D142:D143)</f>
        <v>45</v>
      </c>
      <c r="E141" s="74">
        <f t="shared" si="96"/>
        <v>1918.73</v>
      </c>
      <c r="F141" s="74">
        <f t="shared" si="96"/>
        <v>1521</v>
      </c>
      <c r="G141" s="120">
        <f t="shared" si="96"/>
        <v>1082.0394000000001</v>
      </c>
      <c r="H141" s="120">
        <f t="shared" si="96"/>
        <v>438.96060000000006</v>
      </c>
      <c r="I141" s="120">
        <f t="shared" si="96"/>
        <v>458.17999999999995</v>
      </c>
      <c r="J141" s="120">
        <f t="shared" si="96"/>
        <v>388.4</v>
      </c>
      <c r="K141" s="120">
        <f t="shared" si="96"/>
        <v>69.78</v>
      </c>
      <c r="L141" s="74">
        <f t="shared" si="96"/>
        <v>82</v>
      </c>
      <c r="M141" s="74">
        <f t="shared" si="96"/>
        <v>25</v>
      </c>
      <c r="N141" s="74">
        <f>ROUND(L141/J141*10,2)</f>
        <v>2.11</v>
      </c>
      <c r="O141" s="75">
        <f>ROUND(M141/K141*10,2)</f>
        <v>3.58</v>
      </c>
      <c r="P141" s="76">
        <f aca="true" t="shared" si="97" ref="P141:P148">ROUND(N141*$M$5,1)</f>
        <v>0.7</v>
      </c>
      <c r="Q141" s="75">
        <f aca="true" t="shared" si="98" ref="Q141:Q148">ROUND(O141*$M$5,2)</f>
        <v>1.25</v>
      </c>
      <c r="R141" s="73">
        <f aca="true" t="shared" si="99" ref="R141:W141">SUM(R142:R143)</f>
        <v>757</v>
      </c>
      <c r="S141" s="73">
        <f t="shared" si="99"/>
        <v>457</v>
      </c>
      <c r="T141" s="77">
        <f t="shared" si="99"/>
        <v>1214</v>
      </c>
      <c r="U141" s="77">
        <f t="shared" si="99"/>
        <v>218</v>
      </c>
      <c r="V141" s="77">
        <f t="shared" si="99"/>
        <v>64</v>
      </c>
      <c r="W141" s="77">
        <f t="shared" si="99"/>
        <v>79</v>
      </c>
      <c r="X141" s="48">
        <f aca="true" t="shared" si="100" ref="X141:X148">T141/F141</f>
        <v>0.7981591058514136</v>
      </c>
      <c r="Y141">
        <f>1521/E141</f>
        <v>0.7927118458563738</v>
      </c>
    </row>
    <row r="142" spans="1:24" ht="12.75">
      <c r="A142" s="28">
        <v>128</v>
      </c>
      <c r="B142" s="8" t="s">
        <v>22</v>
      </c>
      <c r="C142" s="9"/>
      <c r="D142" s="18">
        <f>'[1]А-4'!$F$170</f>
        <v>39</v>
      </c>
      <c r="E142" s="17">
        <f>'[1]Норматив и фактически 2017'!$F$147</f>
        <v>1679</v>
      </c>
      <c r="F142" s="114">
        <f>E142*$Y$141</f>
        <v>1330.9631891928516</v>
      </c>
      <c r="G142" s="70">
        <f>F142*0.7114</f>
        <v>946.8472127917946</v>
      </c>
      <c r="H142" s="70">
        <f>F142*0.2886</f>
        <v>384.115976401057</v>
      </c>
      <c r="I142" s="26">
        <f>J142+K142</f>
        <v>389.97999999999996</v>
      </c>
      <c r="J142" s="26">
        <f>'[1]А-4'!G170</f>
        <v>353.79999999999995</v>
      </c>
      <c r="K142" s="26">
        <f>'[1]А-4'!$H$170</f>
        <v>36.18</v>
      </c>
      <c r="L142" s="21">
        <f>'[1]А-4'!R170</f>
        <v>82</v>
      </c>
      <c r="M142" s="21">
        <f>'[1]А-4'!AD170</f>
        <v>10</v>
      </c>
      <c r="N142" s="21">
        <f>L142*10/J142</f>
        <v>2.3176936122102885</v>
      </c>
      <c r="O142" s="21">
        <f>ROUND(M142/K142*10,3)</f>
        <v>2.764</v>
      </c>
      <c r="P142" s="26">
        <f t="shared" si="97"/>
        <v>0.8</v>
      </c>
      <c r="Q142" s="21">
        <f t="shared" si="98"/>
        <v>0.97</v>
      </c>
      <c r="R142" s="22">
        <f>ROUNDDOWN((P142*G142),0)</f>
        <v>757</v>
      </c>
      <c r="S142" s="22">
        <f>ROUNDDOWN((Q142*H142),0)</f>
        <v>372</v>
      </c>
      <c r="T142" s="16">
        <f>R142+S142</f>
        <v>1129</v>
      </c>
      <c r="U142" s="24">
        <f>ROUNDDOWN(IF(T142&lt;$O$3,"0",T142*18/100),0)</f>
        <v>203</v>
      </c>
      <c r="V142" s="9">
        <v>64</v>
      </c>
      <c r="W142" s="24">
        <f>IF(V142&lt;=U142,V142,U142)</f>
        <v>64</v>
      </c>
      <c r="X142" s="48">
        <f t="shared" si="100"/>
        <v>0.8482578700652645</v>
      </c>
    </row>
    <row r="143" spans="1:24" ht="12.75">
      <c r="A143" s="28">
        <v>129</v>
      </c>
      <c r="B143" s="8" t="s">
        <v>29</v>
      </c>
      <c r="C143" s="8"/>
      <c r="D143" s="18">
        <f>'[1]А-4'!$F$171</f>
        <v>6</v>
      </c>
      <c r="E143" s="17">
        <f>'[1]Норматив и фактически 2017'!$F$148</f>
        <v>239.73</v>
      </c>
      <c r="F143" s="114">
        <f>E143*$Y$141</f>
        <v>190.03681080714847</v>
      </c>
      <c r="G143" s="70">
        <f>F143*0.7114</f>
        <v>135.19218720820544</v>
      </c>
      <c r="H143" s="70">
        <f>F143*0.2886</f>
        <v>54.84462359894305</v>
      </c>
      <c r="I143" s="26">
        <f>J143+K143</f>
        <v>68.19999999999999</v>
      </c>
      <c r="J143" s="26">
        <f>'[1]А-4'!G171</f>
        <v>34.6</v>
      </c>
      <c r="K143" s="26">
        <f>'[1]А-4'!$H$171</f>
        <v>33.599999999999994</v>
      </c>
      <c r="L143" s="21">
        <f>'[1]А-4'!R171</f>
        <v>0</v>
      </c>
      <c r="M143" s="21">
        <f>'[1]А-4'!AD171</f>
        <v>15</v>
      </c>
      <c r="N143" s="21">
        <f>L143*10/J143</f>
        <v>0</v>
      </c>
      <c r="O143" s="21">
        <f>ROUND(M143/K143*10,3)</f>
        <v>4.464</v>
      </c>
      <c r="P143" s="26">
        <f t="shared" si="97"/>
        <v>0</v>
      </c>
      <c r="Q143" s="21">
        <f t="shared" si="98"/>
        <v>1.56</v>
      </c>
      <c r="R143" s="22">
        <f>ROUNDDOWN((P143*G143),0)</f>
        <v>0</v>
      </c>
      <c r="S143" s="22">
        <f>ROUNDDOWN((Q143*H143),0)</f>
        <v>85</v>
      </c>
      <c r="T143" s="16">
        <f>R143+S143</f>
        <v>85</v>
      </c>
      <c r="U143" s="24">
        <f>ROUNDDOWN(IF(T143&lt;$O$3,"0",T143*18/100),0)</f>
        <v>15</v>
      </c>
      <c r="V143" s="9"/>
      <c r="W143" s="24">
        <v>15</v>
      </c>
      <c r="X143" s="48">
        <f t="shared" si="100"/>
        <v>0.44728176419598503</v>
      </c>
    </row>
    <row r="144" spans="1:37" ht="18">
      <c r="A144" s="199" t="s">
        <v>92</v>
      </c>
      <c r="B144" s="200"/>
      <c r="C144" s="201"/>
      <c r="D144" s="120">
        <f aca="true" t="shared" si="101" ref="D144:M144">SUM(D145:D147)</f>
        <v>58</v>
      </c>
      <c r="E144" s="74">
        <f t="shared" si="101"/>
        <v>2906.8070000000002</v>
      </c>
      <c r="F144" s="74">
        <f t="shared" si="101"/>
        <v>1713.9999999999998</v>
      </c>
      <c r="G144" s="120">
        <f t="shared" si="101"/>
        <v>1329.0356</v>
      </c>
      <c r="H144" s="120">
        <f t="shared" si="101"/>
        <v>384.96439999999996</v>
      </c>
      <c r="I144" s="120">
        <f t="shared" si="101"/>
        <v>1117.22</v>
      </c>
      <c r="J144" s="120">
        <f t="shared" si="101"/>
        <v>539.86</v>
      </c>
      <c r="K144" s="120">
        <f t="shared" si="101"/>
        <v>577.3599999999999</v>
      </c>
      <c r="L144" s="74">
        <f t="shared" si="101"/>
        <v>149</v>
      </c>
      <c r="M144" s="74">
        <f t="shared" si="101"/>
        <v>9</v>
      </c>
      <c r="N144" s="74">
        <f>ROUND(L144/J144*10,2)</f>
        <v>2.76</v>
      </c>
      <c r="O144" s="75">
        <f>ROUND(M144/K144*10,2)</f>
        <v>0.16</v>
      </c>
      <c r="P144" s="76">
        <f t="shared" si="97"/>
        <v>1</v>
      </c>
      <c r="Q144" s="75">
        <f t="shared" si="98"/>
        <v>0.06</v>
      </c>
      <c r="R144" s="73">
        <f>SUM(R145:R147)</f>
        <v>1340</v>
      </c>
      <c r="S144" s="73">
        <f>SUM(S145:S147)</f>
        <v>21</v>
      </c>
      <c r="T144" s="77">
        <f>SUM(T145:T147)</f>
        <v>1361</v>
      </c>
      <c r="U144" s="77">
        <f>SUM(U145:U147)</f>
        <v>244</v>
      </c>
      <c r="V144" s="77">
        <f>SUM(V145:V146)</f>
        <v>106</v>
      </c>
      <c r="W144" s="77">
        <f>SUM(W145:W146)</f>
        <v>106</v>
      </c>
      <c r="X144" s="48">
        <f t="shared" si="100"/>
        <v>0.7940490081680281</v>
      </c>
      <c r="Y144">
        <f>1714/E144</f>
        <v>0.5896504308679592</v>
      </c>
      <c r="AB144">
        <v>1580</v>
      </c>
      <c r="AD144" s="20">
        <f>AB144-T144</f>
        <v>219</v>
      </c>
      <c r="AK144">
        <f>2956-R144</f>
        <v>1616</v>
      </c>
    </row>
    <row r="145" spans="1:24" ht="12.75">
      <c r="A145" s="28">
        <v>130</v>
      </c>
      <c r="B145" s="8" t="s">
        <v>23</v>
      </c>
      <c r="C145" s="9"/>
      <c r="D145" s="18">
        <f>'[1]А-4'!$F$175</f>
        <v>44</v>
      </c>
      <c r="E145" s="17">
        <f>'[1]Норматив и фактически 2017'!$F$151</f>
        <v>2316</v>
      </c>
      <c r="F145" s="114">
        <f>E145*$Y$144</f>
        <v>1365.6303978901935</v>
      </c>
      <c r="G145" s="70">
        <f>F145*0.7754</f>
        <v>1058.909810524056</v>
      </c>
      <c r="H145" s="70">
        <f>F145*0.2246</f>
        <v>306.72058736613747</v>
      </c>
      <c r="I145" s="26">
        <f>J145+K145</f>
        <v>882.52</v>
      </c>
      <c r="J145" s="26">
        <f>'[1]А-4'!G175</f>
        <v>441.26</v>
      </c>
      <c r="K145" s="26">
        <f>'[1]А-4'!$J$175</f>
        <v>441.26</v>
      </c>
      <c r="L145" s="21">
        <f>'[1]А-4'!R175</f>
        <v>119</v>
      </c>
      <c r="M145" s="21">
        <f>'[1]А-4'!AD175</f>
        <v>0</v>
      </c>
      <c r="N145" s="21">
        <f>L145*10/J145</f>
        <v>2.6968227348955267</v>
      </c>
      <c r="O145" s="21">
        <f>ROUND(M145/K145*10,3)</f>
        <v>0</v>
      </c>
      <c r="P145" s="26">
        <f t="shared" si="97"/>
        <v>0.9</v>
      </c>
      <c r="Q145" s="21">
        <f t="shared" si="98"/>
        <v>0</v>
      </c>
      <c r="R145" s="22">
        <f aca="true" t="shared" si="102" ref="R145:S147">ROUNDDOWN((P145*G145),0)</f>
        <v>953</v>
      </c>
      <c r="S145" s="22">
        <f t="shared" si="102"/>
        <v>0</v>
      </c>
      <c r="T145" s="16">
        <f>R145+S145</f>
        <v>953</v>
      </c>
      <c r="U145" s="24">
        <f>ROUNDDOWN(IF(T145&lt;$O$3,"0",T145*18/100),0)</f>
        <v>171</v>
      </c>
      <c r="V145" s="9">
        <v>91</v>
      </c>
      <c r="W145" s="24">
        <f>IF(V145&lt;=U145,V145,U145)</f>
        <v>91</v>
      </c>
      <c r="X145" s="48">
        <f t="shared" si="100"/>
        <v>0.6978462118830399</v>
      </c>
    </row>
    <row r="146" spans="1:24" ht="12.75">
      <c r="A146" s="28">
        <v>131</v>
      </c>
      <c r="B146" s="8" t="s">
        <v>39</v>
      </c>
      <c r="C146" s="9"/>
      <c r="D146" s="18">
        <f>'[1]А-4'!$F$176</f>
        <v>11</v>
      </c>
      <c r="E146" s="17">
        <f>'[1]Норматив и фактически 2017'!$F$152</f>
        <v>529.2654</v>
      </c>
      <c r="F146" s="114">
        <f>E146*$Y$144</f>
        <v>312.08157115350275</v>
      </c>
      <c r="G146" s="70">
        <f>F146*0.7754</f>
        <v>241.98805027242602</v>
      </c>
      <c r="H146" s="70">
        <f>F146*0.2246</f>
        <v>70.09352088107671</v>
      </c>
      <c r="I146" s="26">
        <f>J146+K146</f>
        <v>169.20000000000002</v>
      </c>
      <c r="J146" s="26">
        <f>'[1]А-4'!G176</f>
        <v>66.9</v>
      </c>
      <c r="K146" s="26">
        <f>'[1]А-4'!$J$176</f>
        <v>102.30000000000001</v>
      </c>
      <c r="L146" s="21">
        <f>'[1]А-4'!R176</f>
        <v>30</v>
      </c>
      <c r="M146" s="21">
        <f>'[1]А-4'!AD176</f>
        <v>9</v>
      </c>
      <c r="N146" s="21">
        <f>L146*10/J146</f>
        <v>4.484304932735426</v>
      </c>
      <c r="O146" s="21">
        <f>ROUND(M146/K146*10,3)</f>
        <v>0.88</v>
      </c>
      <c r="P146" s="26">
        <f t="shared" si="97"/>
        <v>1.6</v>
      </c>
      <c r="Q146" s="21">
        <f t="shared" si="98"/>
        <v>0.31</v>
      </c>
      <c r="R146" s="22">
        <f t="shared" si="102"/>
        <v>387</v>
      </c>
      <c r="S146" s="22">
        <f t="shared" si="102"/>
        <v>21</v>
      </c>
      <c r="T146" s="16">
        <f>R146+S146</f>
        <v>408</v>
      </c>
      <c r="U146" s="24">
        <f>ROUNDDOWN(IF(T146&lt;$O$3,"0",T146*18/100),0)</f>
        <v>73</v>
      </c>
      <c r="V146" s="9">
        <v>15</v>
      </c>
      <c r="W146" s="24">
        <f>IF(V146&lt;=U146,V146,U146)</f>
        <v>15</v>
      </c>
      <c r="X146" s="48">
        <f t="shared" si="100"/>
        <v>1.3073505061255863</v>
      </c>
    </row>
    <row r="147" spans="1:24" ht="12.75">
      <c r="A147" s="28">
        <v>132</v>
      </c>
      <c r="B147" s="40" t="s">
        <v>106</v>
      </c>
      <c r="C147" s="41"/>
      <c r="D147" s="18">
        <f>'[1]А-4'!$F$177</f>
        <v>3</v>
      </c>
      <c r="E147" s="17">
        <f>'[1]Норматив и фактически 2017'!$F$153</f>
        <v>61.5416</v>
      </c>
      <c r="F147" s="114">
        <f>E147*$Y$144</f>
        <v>36.2880309563036</v>
      </c>
      <c r="G147" s="70">
        <f>F147*0.7754</f>
        <v>28.13773920351781</v>
      </c>
      <c r="H147" s="70">
        <f>F147*0.2246</f>
        <v>8.150291752785789</v>
      </c>
      <c r="I147" s="26">
        <f>J147+K147</f>
        <v>65.5</v>
      </c>
      <c r="J147" s="26">
        <f>'[1]А-4'!G177</f>
        <v>31.7</v>
      </c>
      <c r="K147" s="26">
        <f>'[1]А-4'!$J$177</f>
        <v>33.8</v>
      </c>
      <c r="L147" s="21">
        <f>'[1]А-4'!R177</f>
        <v>0</v>
      </c>
      <c r="M147" s="21">
        <f>'[1]А-4'!AD177</f>
        <v>0</v>
      </c>
      <c r="N147" s="21">
        <f>L147*10/J147</f>
        <v>0</v>
      </c>
      <c r="O147" s="21">
        <f>ROUND(M147/K147*10,3)</f>
        <v>0</v>
      </c>
      <c r="P147" s="26">
        <f t="shared" si="97"/>
        <v>0</v>
      </c>
      <c r="Q147" s="21">
        <f t="shared" si="98"/>
        <v>0</v>
      </c>
      <c r="R147" s="22">
        <f t="shared" si="102"/>
        <v>0</v>
      </c>
      <c r="S147" s="22">
        <f t="shared" si="102"/>
        <v>0</v>
      </c>
      <c r="T147" s="16">
        <f>R147+S147</f>
        <v>0</v>
      </c>
      <c r="U147" s="24">
        <f>ROUNDDOWN(IF(T147&lt;$O$3,"0",T147*18/100),0)</f>
        <v>0</v>
      </c>
      <c r="V147" s="9"/>
      <c r="W147" s="24">
        <f>IF(V147&lt;=U147,V147,U147)</f>
        <v>0</v>
      </c>
      <c r="X147" s="48">
        <f t="shared" si="100"/>
        <v>0</v>
      </c>
    </row>
    <row r="148" spans="1:24" ht="39.75" customHeight="1">
      <c r="A148" s="9"/>
      <c r="B148" s="183" t="s">
        <v>24</v>
      </c>
      <c r="C148" s="184"/>
      <c r="D148" s="32">
        <f aca="true" t="shared" si="103" ref="D148:O148">D144+D141+D125+D113+D89+D71+D54+D10+D7</f>
        <v>494</v>
      </c>
      <c r="E148" s="100">
        <f t="shared" si="103"/>
        <v>45222.825</v>
      </c>
      <c r="F148" s="116">
        <f t="shared" si="103"/>
        <v>32304.39592055482</v>
      </c>
      <c r="G148" s="72">
        <f t="shared" si="103"/>
        <v>18584.012062303926</v>
      </c>
      <c r="H148" s="72">
        <f t="shared" si="103"/>
        <v>13720.383858250892</v>
      </c>
      <c r="I148" s="72">
        <f t="shared" si="103"/>
        <v>5884.589999999999</v>
      </c>
      <c r="J148" s="72">
        <f t="shared" si="103"/>
        <v>4168.77</v>
      </c>
      <c r="K148" s="72">
        <f t="shared" si="103"/>
        <v>1715.8199999999997</v>
      </c>
      <c r="L148" s="72">
        <f t="shared" si="103"/>
        <v>1711</v>
      </c>
      <c r="M148" s="72">
        <f t="shared" si="103"/>
        <v>309</v>
      </c>
      <c r="N148" s="72">
        <f t="shared" si="103"/>
        <v>34.05</v>
      </c>
      <c r="O148" s="72">
        <f t="shared" si="103"/>
        <v>21.619999999999997</v>
      </c>
      <c r="P148" s="85">
        <f t="shared" si="97"/>
        <v>11.9</v>
      </c>
      <c r="Q148" s="86">
        <f t="shared" si="98"/>
        <v>7.57</v>
      </c>
      <c r="R148" s="72">
        <f aca="true" t="shared" si="104" ref="R148:W148">R144+R141+R125+R113+R89+R71+R54+R10+R7</f>
        <v>17536</v>
      </c>
      <c r="S148" s="72">
        <f t="shared" si="104"/>
        <v>5691</v>
      </c>
      <c r="T148" s="32">
        <f t="shared" si="104"/>
        <v>23227</v>
      </c>
      <c r="U148" s="32">
        <f t="shared" si="104"/>
        <v>4027</v>
      </c>
      <c r="V148" s="32">
        <f t="shared" si="104"/>
        <v>942</v>
      </c>
      <c r="W148" s="32">
        <f t="shared" si="104"/>
        <v>2156</v>
      </c>
      <c r="X148" s="48">
        <f t="shared" si="100"/>
        <v>0.7190043131319164</v>
      </c>
    </row>
  </sheetData>
  <sheetProtection password="CC47" sheet="1"/>
  <mergeCells count="50">
    <mergeCell ref="C1:W1"/>
    <mergeCell ref="B119:C119"/>
    <mergeCell ref="B76:C76"/>
    <mergeCell ref="B81:C81"/>
    <mergeCell ref="B86:C86"/>
    <mergeCell ref="B104:C104"/>
    <mergeCell ref="B105:C105"/>
    <mergeCell ref="B91:C91"/>
    <mergeCell ref="B88:C88"/>
    <mergeCell ref="B87:C87"/>
    <mergeCell ref="A89:C89"/>
    <mergeCell ref="B134:C134"/>
    <mergeCell ref="B123:C123"/>
    <mergeCell ref="B124:C124"/>
    <mergeCell ref="B121:C121"/>
    <mergeCell ref="B122:C122"/>
    <mergeCell ref="B128:C128"/>
    <mergeCell ref="A125:C125"/>
    <mergeCell ref="B112:C112"/>
    <mergeCell ref="B103:C103"/>
    <mergeCell ref="A113:C113"/>
    <mergeCell ref="B106:C106"/>
    <mergeCell ref="B108:C108"/>
    <mergeCell ref="B109:C109"/>
    <mergeCell ref="B110:C110"/>
    <mergeCell ref="B111:C111"/>
    <mergeCell ref="B63:C63"/>
    <mergeCell ref="B47:C47"/>
    <mergeCell ref="B11:C11"/>
    <mergeCell ref="B83:C83"/>
    <mergeCell ref="B12:C12"/>
    <mergeCell ref="B54:C54"/>
    <mergeCell ref="B71:C71"/>
    <mergeCell ref="B28:C28"/>
    <mergeCell ref="B46:C46"/>
    <mergeCell ref="B62:C62"/>
    <mergeCell ref="L3:M3"/>
    <mergeCell ref="B10:C10"/>
    <mergeCell ref="B17:C17"/>
    <mergeCell ref="B48:C48"/>
    <mergeCell ref="O5:P5"/>
    <mergeCell ref="B7:C7"/>
    <mergeCell ref="B13:C13"/>
    <mergeCell ref="B148:C148"/>
    <mergeCell ref="B6:C6"/>
    <mergeCell ref="B137:C137"/>
    <mergeCell ref="A141:C141"/>
    <mergeCell ref="A144:C144"/>
    <mergeCell ref="B23:C23"/>
    <mergeCell ref="B24:C24"/>
  </mergeCells>
  <printOptions/>
  <pageMargins left="0" right="0" top="0.1968503937007874" bottom="0.1968503937007874" header="0" footer="0"/>
  <pageSetup horizontalDpi="600" verticalDpi="600" orientation="landscape" paperSize="9" scale="64" r:id="rId1"/>
  <rowBreaks count="3" manualBreakCount="3">
    <brk id="55" max="22" man="1"/>
    <brk id="108" max="22" man="1"/>
    <brk id="14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162"/>
  <sheetViews>
    <sheetView tabSelected="1" view="pageBreakPreview" zoomScale="60" workbookViewId="0" topLeftCell="A1">
      <pane xSplit="1" ySplit="5" topLeftCell="B1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7" sqref="L157"/>
    </sheetView>
  </sheetViews>
  <sheetFormatPr defaultColWidth="9.140625" defaultRowHeight="12.75"/>
  <cols>
    <col min="1" max="1" width="6.00390625" style="0" customWidth="1"/>
    <col min="2" max="2" width="39.7109375" style="0" customWidth="1"/>
  </cols>
  <sheetData>
    <row r="1" spans="9:11" ht="12.75">
      <c r="I1" s="27"/>
      <c r="K1" s="27"/>
    </row>
    <row r="2" spans="2:12" ht="18.75">
      <c r="B2" s="227" t="s">
        <v>147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2:12" ht="19.5" thickBot="1">
      <c r="B3" s="227" t="s">
        <v>148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3.5" thickBot="1">
      <c r="A4" s="225" t="s">
        <v>7</v>
      </c>
      <c r="B4" s="228" t="s">
        <v>9</v>
      </c>
      <c r="C4" s="230" t="s">
        <v>36</v>
      </c>
      <c r="D4" s="231"/>
      <c r="E4" s="230" t="s">
        <v>75</v>
      </c>
      <c r="F4" s="231"/>
      <c r="G4" s="230" t="s">
        <v>8</v>
      </c>
      <c r="H4" s="231"/>
      <c r="I4" s="230" t="s">
        <v>149</v>
      </c>
      <c r="J4" s="231"/>
      <c r="K4" s="230" t="s">
        <v>150</v>
      </c>
      <c r="L4" s="231"/>
    </row>
    <row r="5" spans="1:12" ht="12.75">
      <c r="A5" s="226"/>
      <c r="B5" s="229"/>
      <c r="C5" s="145" t="s">
        <v>151</v>
      </c>
      <c r="D5" s="146" t="s">
        <v>152</v>
      </c>
      <c r="E5" s="146" t="s">
        <v>151</v>
      </c>
      <c r="F5" s="146" t="s">
        <v>152</v>
      </c>
      <c r="G5" s="146" t="s">
        <v>151</v>
      </c>
      <c r="H5" s="146" t="s">
        <v>152</v>
      </c>
      <c r="I5" s="147" t="s">
        <v>151</v>
      </c>
      <c r="J5" s="146" t="s">
        <v>152</v>
      </c>
      <c r="K5" s="147" t="s">
        <v>151</v>
      </c>
      <c r="L5" s="146" t="s">
        <v>152</v>
      </c>
    </row>
    <row r="6" spans="1:12" ht="21" customHeight="1">
      <c r="A6" s="152"/>
      <c r="B6" s="157" t="s">
        <v>87</v>
      </c>
      <c r="C6" s="155">
        <v>0</v>
      </c>
      <c r="D6" s="172"/>
      <c r="E6" s="155">
        <v>0</v>
      </c>
      <c r="F6" s="171"/>
      <c r="G6" s="155">
        <v>0</v>
      </c>
      <c r="H6" s="155"/>
      <c r="I6" s="155">
        <v>0</v>
      </c>
      <c r="J6" s="155"/>
      <c r="K6" s="155">
        <v>0</v>
      </c>
      <c r="L6" s="156"/>
    </row>
    <row r="7" spans="1:12" ht="21.75" customHeight="1">
      <c r="A7" s="152">
        <v>1</v>
      </c>
      <c r="B7" s="151" t="s">
        <v>82</v>
      </c>
      <c r="C7" s="24">
        <v>0</v>
      </c>
      <c r="D7" s="164"/>
      <c r="E7" s="163">
        <v>0</v>
      </c>
      <c r="F7" s="164"/>
      <c r="G7" s="163">
        <v>0</v>
      </c>
      <c r="H7" s="164"/>
      <c r="I7" s="165">
        <v>0</v>
      </c>
      <c r="J7" s="164"/>
      <c r="K7" s="165">
        <v>0</v>
      </c>
      <c r="L7" s="165"/>
    </row>
    <row r="8" spans="1:12" ht="22.5" customHeight="1">
      <c r="A8" s="152">
        <v>2</v>
      </c>
      <c r="B8" s="151" t="s">
        <v>132</v>
      </c>
      <c r="C8" s="24">
        <v>0</v>
      </c>
      <c r="D8" s="162"/>
      <c r="E8" s="170">
        <v>0</v>
      </c>
      <c r="F8" s="162"/>
      <c r="G8" s="16">
        <v>0</v>
      </c>
      <c r="H8" s="16"/>
      <c r="I8" s="22">
        <v>0</v>
      </c>
      <c r="J8" s="16"/>
      <c r="K8" s="22">
        <v>0</v>
      </c>
      <c r="L8" s="162"/>
    </row>
    <row r="9" spans="1:12" ht="17.25" customHeight="1">
      <c r="A9" s="152"/>
      <c r="B9" s="158" t="s">
        <v>86</v>
      </c>
      <c r="C9" s="155">
        <v>71</v>
      </c>
      <c r="D9" s="171"/>
      <c r="E9" s="155">
        <v>142</v>
      </c>
      <c r="F9" s="171"/>
      <c r="G9" s="155">
        <v>1469</v>
      </c>
      <c r="H9" s="171"/>
      <c r="I9" s="171">
        <v>145</v>
      </c>
      <c r="J9" s="171"/>
      <c r="K9" s="171">
        <v>43</v>
      </c>
      <c r="L9" s="171"/>
    </row>
    <row r="10" spans="1:12" ht="15" customHeight="1">
      <c r="A10" s="152">
        <v>3</v>
      </c>
      <c r="B10" s="149" t="s">
        <v>79</v>
      </c>
      <c r="C10" s="24">
        <v>3</v>
      </c>
      <c r="D10" s="164"/>
      <c r="E10" s="163">
        <v>15</v>
      </c>
      <c r="F10" s="164"/>
      <c r="G10" s="163">
        <v>90</v>
      </c>
      <c r="H10" s="164"/>
      <c r="I10" s="165">
        <v>0</v>
      </c>
      <c r="J10" s="164"/>
      <c r="K10" s="165">
        <v>2</v>
      </c>
      <c r="L10" s="164"/>
    </row>
    <row r="11" spans="1:12" ht="17.25" customHeight="1">
      <c r="A11" s="152">
        <f aca="true" t="shared" si="0" ref="A11:A52">A10+1</f>
        <v>4</v>
      </c>
      <c r="B11" s="149" t="s">
        <v>80</v>
      </c>
      <c r="C11" s="24">
        <v>4</v>
      </c>
      <c r="D11" s="164"/>
      <c r="E11" s="163">
        <v>0</v>
      </c>
      <c r="F11" s="164"/>
      <c r="G11" s="163">
        <v>95</v>
      </c>
      <c r="H11" s="164"/>
      <c r="I11" s="165">
        <v>0</v>
      </c>
      <c r="J11" s="165"/>
      <c r="K11" s="165">
        <v>1</v>
      </c>
      <c r="L11" s="165"/>
    </row>
    <row r="12" spans="1:12" ht="18" customHeight="1">
      <c r="A12" s="152">
        <f t="shared" si="0"/>
        <v>5</v>
      </c>
      <c r="B12" s="149" t="s">
        <v>81</v>
      </c>
      <c r="C12" s="24">
        <v>1</v>
      </c>
      <c r="D12" s="164"/>
      <c r="E12" s="163">
        <v>7</v>
      </c>
      <c r="F12" s="164"/>
      <c r="G12" s="163">
        <v>16</v>
      </c>
      <c r="H12" s="164"/>
      <c r="I12" s="165">
        <v>0</v>
      </c>
      <c r="J12" s="164"/>
      <c r="K12" s="165">
        <v>0</v>
      </c>
      <c r="L12" s="165"/>
    </row>
    <row r="13" spans="1:12" ht="15.75" customHeight="1">
      <c r="A13" s="152">
        <f t="shared" si="0"/>
        <v>6</v>
      </c>
      <c r="B13" s="151" t="s">
        <v>83</v>
      </c>
      <c r="C13" s="24">
        <v>2</v>
      </c>
      <c r="D13" s="164"/>
      <c r="E13" s="163">
        <v>12</v>
      </c>
      <c r="F13" s="164"/>
      <c r="G13" s="163">
        <v>34</v>
      </c>
      <c r="H13" s="164"/>
      <c r="I13" s="165">
        <v>0</v>
      </c>
      <c r="J13" s="165"/>
      <c r="K13" s="165">
        <v>0</v>
      </c>
      <c r="L13" s="165"/>
    </row>
    <row r="14" spans="1:12" ht="18.75" customHeight="1">
      <c r="A14" s="152">
        <f t="shared" si="0"/>
        <v>7</v>
      </c>
      <c r="B14" s="151" t="s">
        <v>84</v>
      </c>
      <c r="C14" s="24">
        <v>2</v>
      </c>
      <c r="D14" s="164"/>
      <c r="E14" s="163">
        <v>17</v>
      </c>
      <c r="F14" s="164"/>
      <c r="G14" s="163">
        <v>68</v>
      </c>
      <c r="H14" s="164"/>
      <c r="I14" s="165">
        <v>0</v>
      </c>
      <c r="J14" s="164"/>
      <c r="K14" s="165">
        <v>0</v>
      </c>
      <c r="L14" s="165"/>
    </row>
    <row r="15" spans="1:12" ht="18" customHeight="1">
      <c r="A15" s="152">
        <f t="shared" si="0"/>
        <v>8</v>
      </c>
      <c r="B15" s="151" t="s">
        <v>85</v>
      </c>
      <c r="C15" s="24">
        <v>5</v>
      </c>
      <c r="D15" s="16"/>
      <c r="E15" s="163">
        <v>18</v>
      </c>
      <c r="F15" s="163"/>
      <c r="G15" s="163">
        <v>68</v>
      </c>
      <c r="H15" s="164"/>
      <c r="I15" s="165">
        <v>0</v>
      </c>
      <c r="J15" s="164"/>
      <c r="K15" s="165">
        <v>0</v>
      </c>
      <c r="L15" s="164"/>
    </row>
    <row r="16" spans="1:12" ht="17.25" customHeight="1">
      <c r="A16" s="152">
        <f t="shared" si="0"/>
        <v>9</v>
      </c>
      <c r="B16" s="149" t="s">
        <v>76</v>
      </c>
      <c r="C16" s="24">
        <v>0</v>
      </c>
      <c r="D16" s="16"/>
      <c r="E16" s="163">
        <v>2</v>
      </c>
      <c r="F16" s="163"/>
      <c r="G16" s="163">
        <v>20</v>
      </c>
      <c r="H16" s="164"/>
      <c r="I16" s="165">
        <v>10</v>
      </c>
      <c r="J16" s="164"/>
      <c r="K16" s="165">
        <v>0</v>
      </c>
      <c r="L16" s="164"/>
    </row>
    <row r="17" spans="1:12" ht="15.75" customHeight="1">
      <c r="A17" s="152">
        <f t="shared" si="0"/>
        <v>10</v>
      </c>
      <c r="B17" s="149" t="s">
        <v>77</v>
      </c>
      <c r="C17" s="24">
        <v>0</v>
      </c>
      <c r="D17" s="16"/>
      <c r="E17" s="163">
        <v>0</v>
      </c>
      <c r="F17" s="163"/>
      <c r="G17" s="163">
        <v>0</v>
      </c>
      <c r="H17" s="164"/>
      <c r="I17" s="165">
        <v>6</v>
      </c>
      <c r="J17" s="164"/>
      <c r="K17" s="165">
        <v>2</v>
      </c>
      <c r="L17" s="164"/>
    </row>
    <row r="18" spans="1:12" ht="18" customHeight="1">
      <c r="A18" s="152">
        <f t="shared" si="0"/>
        <v>11</v>
      </c>
      <c r="B18" s="149" t="s">
        <v>78</v>
      </c>
      <c r="C18" s="24">
        <v>1</v>
      </c>
      <c r="D18" s="16"/>
      <c r="E18" s="163">
        <v>0</v>
      </c>
      <c r="F18" s="163"/>
      <c r="G18" s="163">
        <v>20</v>
      </c>
      <c r="H18" s="164"/>
      <c r="I18" s="165">
        <v>8</v>
      </c>
      <c r="J18" s="165"/>
      <c r="K18" s="165">
        <v>3</v>
      </c>
      <c r="L18" s="165"/>
    </row>
    <row r="19" spans="1:12" ht="18" customHeight="1">
      <c r="A19" s="152">
        <f t="shared" si="0"/>
        <v>12</v>
      </c>
      <c r="B19" s="148" t="s">
        <v>38</v>
      </c>
      <c r="C19" s="24">
        <v>0</v>
      </c>
      <c r="D19" s="164"/>
      <c r="E19" s="163">
        <v>0</v>
      </c>
      <c r="F19" s="164"/>
      <c r="G19" s="163">
        <v>0</v>
      </c>
      <c r="H19" s="164"/>
      <c r="I19" s="165">
        <v>0</v>
      </c>
      <c r="J19" s="164"/>
      <c r="K19" s="165">
        <v>0</v>
      </c>
      <c r="L19" s="164"/>
    </row>
    <row r="20" spans="1:12" ht="17.25" customHeight="1">
      <c r="A20" s="152">
        <f t="shared" si="0"/>
        <v>13</v>
      </c>
      <c r="B20" s="148" t="s">
        <v>10</v>
      </c>
      <c r="C20" s="24">
        <v>3</v>
      </c>
      <c r="D20" s="164"/>
      <c r="E20" s="163">
        <v>10</v>
      </c>
      <c r="F20" s="163"/>
      <c r="G20" s="163">
        <v>145</v>
      </c>
      <c r="H20" s="164"/>
      <c r="I20" s="165">
        <v>10</v>
      </c>
      <c r="J20" s="165"/>
      <c r="K20" s="165">
        <v>11</v>
      </c>
      <c r="L20" s="164"/>
    </row>
    <row r="21" spans="1:12" ht="21" customHeight="1">
      <c r="A21" s="152">
        <f t="shared" si="0"/>
        <v>14</v>
      </c>
      <c r="B21" s="148" t="s">
        <v>26</v>
      </c>
      <c r="C21" s="24">
        <v>1</v>
      </c>
      <c r="D21" s="16"/>
      <c r="E21" s="163">
        <v>0</v>
      </c>
      <c r="F21" s="163"/>
      <c r="G21" s="163">
        <v>36</v>
      </c>
      <c r="H21" s="163"/>
      <c r="I21" s="165">
        <v>3</v>
      </c>
      <c r="J21" s="164"/>
      <c r="K21" s="165">
        <v>1</v>
      </c>
      <c r="L21" s="164"/>
    </row>
    <row r="22" spans="1:12" ht="18.75" customHeight="1">
      <c r="A22" s="152">
        <f t="shared" si="0"/>
        <v>15</v>
      </c>
      <c r="B22" s="149" t="s">
        <v>55</v>
      </c>
      <c r="C22" s="24">
        <v>0</v>
      </c>
      <c r="D22" s="16"/>
      <c r="E22" s="163">
        <v>4</v>
      </c>
      <c r="F22" s="163"/>
      <c r="G22" s="163">
        <v>0</v>
      </c>
      <c r="H22" s="163"/>
      <c r="I22" s="165">
        <v>0</v>
      </c>
      <c r="J22" s="164"/>
      <c r="K22" s="165">
        <v>2</v>
      </c>
      <c r="L22" s="164"/>
    </row>
    <row r="23" spans="1:12" ht="15.75" customHeight="1">
      <c r="A23" s="152">
        <f t="shared" si="0"/>
        <v>16</v>
      </c>
      <c r="B23" s="149" t="s">
        <v>56</v>
      </c>
      <c r="C23" s="24">
        <v>0</v>
      </c>
      <c r="D23" s="16"/>
      <c r="E23" s="163">
        <v>0</v>
      </c>
      <c r="F23" s="163"/>
      <c r="G23" s="163">
        <v>0</v>
      </c>
      <c r="H23" s="163"/>
      <c r="I23" s="165">
        <v>0</v>
      </c>
      <c r="J23" s="164"/>
      <c r="K23" s="165">
        <v>2</v>
      </c>
      <c r="L23" s="165"/>
    </row>
    <row r="24" spans="1:12" ht="17.25" customHeight="1">
      <c r="A24" s="152">
        <f t="shared" si="0"/>
        <v>17</v>
      </c>
      <c r="B24" s="151" t="s">
        <v>59</v>
      </c>
      <c r="C24" s="24">
        <v>0</v>
      </c>
      <c r="D24" s="16"/>
      <c r="E24" s="163">
        <v>0</v>
      </c>
      <c r="F24" s="163"/>
      <c r="G24" s="163">
        <v>0</v>
      </c>
      <c r="H24" s="163"/>
      <c r="I24" s="165">
        <v>1</v>
      </c>
      <c r="J24" s="165"/>
      <c r="K24" s="165">
        <v>0</v>
      </c>
      <c r="L24" s="165"/>
    </row>
    <row r="25" spans="1:12" ht="18" customHeight="1">
      <c r="A25" s="152">
        <f t="shared" si="0"/>
        <v>18</v>
      </c>
      <c r="B25" s="148" t="s">
        <v>11</v>
      </c>
      <c r="C25" s="24">
        <v>0</v>
      </c>
      <c r="D25" s="16"/>
      <c r="E25" s="163">
        <v>0</v>
      </c>
      <c r="F25" s="163"/>
      <c r="G25" s="163">
        <v>0</v>
      </c>
      <c r="H25" s="163"/>
      <c r="I25" s="165">
        <v>0</v>
      </c>
      <c r="J25" s="165"/>
      <c r="K25" s="165">
        <v>0</v>
      </c>
      <c r="L25" s="165"/>
    </row>
    <row r="26" spans="1:12" ht="18" customHeight="1">
      <c r="A26" s="152">
        <f t="shared" si="0"/>
        <v>19</v>
      </c>
      <c r="B26" s="148" t="s">
        <v>12</v>
      </c>
      <c r="C26" s="24">
        <v>0</v>
      </c>
      <c r="D26" s="16"/>
      <c r="E26" s="163">
        <v>0</v>
      </c>
      <c r="F26" s="163"/>
      <c r="G26" s="163">
        <v>0</v>
      </c>
      <c r="H26" s="163"/>
      <c r="I26" s="165">
        <v>0</v>
      </c>
      <c r="J26" s="165"/>
      <c r="K26" s="165">
        <v>0</v>
      </c>
      <c r="L26" s="165"/>
    </row>
    <row r="27" spans="1:12" ht="18.75" customHeight="1">
      <c r="A27" s="152">
        <f t="shared" si="0"/>
        <v>20</v>
      </c>
      <c r="B27" s="161" t="s">
        <v>14</v>
      </c>
      <c r="C27" s="132">
        <v>0</v>
      </c>
      <c r="D27" s="168"/>
      <c r="E27" s="169">
        <v>0</v>
      </c>
      <c r="F27" s="169"/>
      <c r="G27" s="169">
        <v>0</v>
      </c>
      <c r="H27" s="168"/>
      <c r="I27" s="168">
        <v>0</v>
      </c>
      <c r="J27" s="168"/>
      <c r="K27" s="168">
        <v>0</v>
      </c>
      <c r="L27" s="168"/>
    </row>
    <row r="28" spans="1:12" ht="15.75" customHeight="1">
      <c r="A28" s="152">
        <f t="shared" si="0"/>
        <v>21</v>
      </c>
      <c r="B28" s="148" t="s">
        <v>61</v>
      </c>
      <c r="C28" s="24">
        <v>4</v>
      </c>
      <c r="D28" s="16"/>
      <c r="E28" s="163">
        <v>42</v>
      </c>
      <c r="F28" s="164"/>
      <c r="G28" s="163">
        <v>135</v>
      </c>
      <c r="H28" s="164"/>
      <c r="I28" s="165">
        <v>20</v>
      </c>
      <c r="J28" s="164"/>
      <c r="K28" s="165">
        <v>3</v>
      </c>
      <c r="L28" s="164"/>
    </row>
    <row r="29" spans="1:12" ht="16.5" customHeight="1">
      <c r="A29" s="152">
        <f t="shared" si="0"/>
        <v>22</v>
      </c>
      <c r="B29" s="148" t="s">
        <v>124</v>
      </c>
      <c r="C29" s="24">
        <v>0</v>
      </c>
      <c r="D29" s="16"/>
      <c r="E29" s="163">
        <v>0</v>
      </c>
      <c r="F29" s="163"/>
      <c r="G29" s="163">
        <v>0</v>
      </c>
      <c r="H29" s="163"/>
      <c r="I29" s="165">
        <v>0</v>
      </c>
      <c r="J29" s="164"/>
      <c r="K29" s="165">
        <v>0</v>
      </c>
      <c r="L29" s="164"/>
    </row>
    <row r="30" spans="1:12" ht="14.25" customHeight="1">
      <c r="A30" s="152">
        <f t="shared" si="0"/>
        <v>23</v>
      </c>
      <c r="B30" s="148" t="s">
        <v>25</v>
      </c>
      <c r="C30" s="24">
        <v>0</v>
      </c>
      <c r="D30" s="164"/>
      <c r="E30" s="163">
        <v>0</v>
      </c>
      <c r="F30" s="164"/>
      <c r="G30" s="163">
        <v>0</v>
      </c>
      <c r="H30" s="164"/>
      <c r="I30" s="165">
        <v>0</v>
      </c>
      <c r="J30" s="164"/>
      <c r="K30" s="165">
        <v>0</v>
      </c>
      <c r="L30" s="164"/>
    </row>
    <row r="31" spans="1:12" ht="18" customHeight="1">
      <c r="A31" s="152">
        <f t="shared" si="0"/>
        <v>24</v>
      </c>
      <c r="B31" s="148" t="s">
        <v>13</v>
      </c>
      <c r="C31" s="24">
        <v>3</v>
      </c>
      <c r="D31" s="16"/>
      <c r="E31" s="163">
        <v>3</v>
      </c>
      <c r="F31" s="163"/>
      <c r="G31" s="163">
        <v>115</v>
      </c>
      <c r="H31" s="164"/>
      <c r="I31" s="165">
        <v>3</v>
      </c>
      <c r="J31" s="164"/>
      <c r="K31" s="165">
        <v>3</v>
      </c>
      <c r="L31" s="165"/>
    </row>
    <row r="32" spans="1:12" ht="20.25" customHeight="1">
      <c r="A32" s="152">
        <f t="shared" si="0"/>
        <v>25</v>
      </c>
      <c r="B32" s="160" t="s">
        <v>15</v>
      </c>
      <c r="C32" s="132">
        <v>0</v>
      </c>
      <c r="D32" s="131"/>
      <c r="E32" s="169">
        <v>0</v>
      </c>
      <c r="F32" s="169"/>
      <c r="G32" s="169">
        <v>0</v>
      </c>
      <c r="H32" s="169"/>
      <c r="I32" s="168">
        <v>0</v>
      </c>
      <c r="J32" s="168"/>
      <c r="K32" s="168">
        <v>0</v>
      </c>
      <c r="L32" s="168"/>
    </row>
    <row r="33" spans="1:12" ht="18.75" customHeight="1">
      <c r="A33" s="152">
        <f t="shared" si="0"/>
        <v>26</v>
      </c>
      <c r="B33" s="149" t="s">
        <v>27</v>
      </c>
      <c r="C33" s="24">
        <v>1</v>
      </c>
      <c r="D33" s="164"/>
      <c r="E33" s="163">
        <v>7</v>
      </c>
      <c r="F33" s="164"/>
      <c r="G33" s="163">
        <v>38</v>
      </c>
      <c r="H33" s="164"/>
      <c r="I33" s="165">
        <v>2</v>
      </c>
      <c r="J33" s="164"/>
      <c r="K33" s="165">
        <v>2</v>
      </c>
      <c r="L33" s="164"/>
    </row>
    <row r="34" spans="1:12" ht="18.75" customHeight="1">
      <c r="A34" s="152">
        <f t="shared" si="0"/>
        <v>27</v>
      </c>
      <c r="B34" s="151" t="s">
        <v>125</v>
      </c>
      <c r="C34" s="24">
        <v>7</v>
      </c>
      <c r="D34" s="164"/>
      <c r="E34" s="163">
        <v>0</v>
      </c>
      <c r="F34" s="164"/>
      <c r="G34" s="163">
        <v>95</v>
      </c>
      <c r="H34" s="164"/>
      <c r="I34" s="165">
        <v>17</v>
      </c>
      <c r="J34" s="164"/>
      <c r="K34" s="165">
        <v>1</v>
      </c>
      <c r="L34" s="165"/>
    </row>
    <row r="35" spans="1:12" ht="18.75" customHeight="1">
      <c r="A35" s="152">
        <f t="shared" si="0"/>
        <v>28</v>
      </c>
      <c r="B35" s="151" t="s">
        <v>60</v>
      </c>
      <c r="C35" s="24">
        <v>0</v>
      </c>
      <c r="D35" s="16"/>
      <c r="E35" s="163">
        <v>0</v>
      </c>
      <c r="F35" s="163"/>
      <c r="G35" s="163">
        <v>0</v>
      </c>
      <c r="H35" s="163"/>
      <c r="I35" s="165">
        <v>0</v>
      </c>
      <c r="J35" s="164"/>
      <c r="K35" s="165">
        <v>0</v>
      </c>
      <c r="L35" s="165"/>
    </row>
    <row r="36" spans="1:12" ht="20.25" customHeight="1">
      <c r="A36" s="152">
        <f t="shared" si="0"/>
        <v>29</v>
      </c>
      <c r="B36" s="148" t="s">
        <v>95</v>
      </c>
      <c r="C36" s="24">
        <v>0</v>
      </c>
      <c r="D36" s="164"/>
      <c r="E36" s="163">
        <v>0</v>
      </c>
      <c r="F36" s="164"/>
      <c r="G36" s="163">
        <v>0</v>
      </c>
      <c r="H36" s="164"/>
      <c r="I36" s="165">
        <v>12</v>
      </c>
      <c r="J36" s="164"/>
      <c r="K36" s="165">
        <v>3</v>
      </c>
      <c r="L36" s="164"/>
    </row>
    <row r="37" spans="1:12" ht="17.25" customHeight="1">
      <c r="A37" s="152">
        <f t="shared" si="0"/>
        <v>30</v>
      </c>
      <c r="B37" s="148" t="s">
        <v>94</v>
      </c>
      <c r="C37" s="24">
        <v>0</v>
      </c>
      <c r="D37" s="16"/>
      <c r="E37" s="163">
        <v>0</v>
      </c>
      <c r="F37" s="164"/>
      <c r="G37" s="163">
        <v>0</v>
      </c>
      <c r="H37" s="164"/>
      <c r="I37" s="165">
        <v>15</v>
      </c>
      <c r="J37" s="164"/>
      <c r="K37" s="165">
        <v>5</v>
      </c>
      <c r="L37" s="165"/>
    </row>
    <row r="38" spans="1:12" ht="18.75" customHeight="1">
      <c r="A38" s="152">
        <f t="shared" si="0"/>
        <v>31</v>
      </c>
      <c r="B38" s="148" t="s">
        <v>28</v>
      </c>
      <c r="C38" s="24">
        <v>2</v>
      </c>
      <c r="D38" s="164"/>
      <c r="E38" s="163">
        <v>5</v>
      </c>
      <c r="F38" s="164"/>
      <c r="G38" s="163">
        <v>38</v>
      </c>
      <c r="H38" s="164"/>
      <c r="I38" s="165">
        <v>6</v>
      </c>
      <c r="J38" s="164"/>
      <c r="K38" s="165">
        <v>2</v>
      </c>
      <c r="L38" s="164"/>
    </row>
    <row r="39" spans="1:12" ht="16.5" customHeight="1">
      <c r="A39" s="152">
        <f t="shared" si="0"/>
        <v>32</v>
      </c>
      <c r="B39" s="148" t="s">
        <v>126</v>
      </c>
      <c r="C39" s="24">
        <v>0</v>
      </c>
      <c r="D39" s="164"/>
      <c r="E39" s="163">
        <v>0</v>
      </c>
      <c r="F39" s="164"/>
      <c r="G39" s="163">
        <v>23</v>
      </c>
      <c r="H39" s="164"/>
      <c r="I39" s="165">
        <v>18</v>
      </c>
      <c r="J39" s="164"/>
      <c r="K39" s="165">
        <v>0</v>
      </c>
      <c r="L39" s="164"/>
    </row>
    <row r="40" spans="1:12" ht="18" customHeight="1">
      <c r="A40" s="152">
        <f t="shared" si="0"/>
        <v>33</v>
      </c>
      <c r="B40" s="151" t="s">
        <v>127</v>
      </c>
      <c r="C40" s="24">
        <v>1</v>
      </c>
      <c r="D40" s="16"/>
      <c r="E40" s="163">
        <v>0</v>
      </c>
      <c r="F40" s="163"/>
      <c r="G40" s="163">
        <v>49</v>
      </c>
      <c r="H40" s="164"/>
      <c r="I40" s="165">
        <v>0</v>
      </c>
      <c r="J40" s="164"/>
      <c r="K40" s="165">
        <v>0</v>
      </c>
      <c r="L40" s="165"/>
    </row>
    <row r="41" spans="1:12" ht="18.75" customHeight="1">
      <c r="A41" s="152">
        <f t="shared" si="0"/>
        <v>34</v>
      </c>
      <c r="B41" s="148" t="s">
        <v>52</v>
      </c>
      <c r="C41" s="24">
        <v>0</v>
      </c>
      <c r="D41" s="164"/>
      <c r="E41" s="163">
        <v>0</v>
      </c>
      <c r="F41" s="163"/>
      <c r="G41" s="163">
        <v>53</v>
      </c>
      <c r="H41" s="164"/>
      <c r="I41" s="165">
        <v>14</v>
      </c>
      <c r="J41" s="164"/>
      <c r="K41" s="165">
        <v>0</v>
      </c>
      <c r="L41" s="165"/>
    </row>
    <row r="42" spans="1:12" ht="16.5" customHeight="1">
      <c r="A42" s="152">
        <f t="shared" si="0"/>
        <v>35</v>
      </c>
      <c r="B42" s="148" t="s">
        <v>62</v>
      </c>
      <c r="C42" s="24">
        <v>0</v>
      </c>
      <c r="D42" s="16"/>
      <c r="E42" s="163">
        <v>0</v>
      </c>
      <c r="F42" s="163"/>
      <c r="G42" s="163">
        <v>0</v>
      </c>
      <c r="H42" s="164"/>
      <c r="I42" s="165">
        <v>0</v>
      </c>
      <c r="J42" s="164"/>
      <c r="K42" s="165">
        <v>0</v>
      </c>
      <c r="L42" s="165"/>
    </row>
    <row r="43" spans="1:12" ht="16.5" customHeight="1">
      <c r="A43" s="152">
        <f t="shared" si="0"/>
        <v>36</v>
      </c>
      <c r="B43" s="160" t="s">
        <v>35</v>
      </c>
      <c r="C43" s="132">
        <v>0</v>
      </c>
      <c r="D43" s="131"/>
      <c r="E43" s="169">
        <v>0</v>
      </c>
      <c r="F43" s="169"/>
      <c r="G43" s="169">
        <v>0</v>
      </c>
      <c r="H43" s="168"/>
      <c r="I43" s="168">
        <v>0</v>
      </c>
      <c r="J43" s="168"/>
      <c r="K43" s="168">
        <v>0</v>
      </c>
      <c r="L43" s="168"/>
    </row>
    <row r="44" spans="1:12" ht="16.5" customHeight="1">
      <c r="A44" s="152">
        <f t="shared" si="0"/>
        <v>37</v>
      </c>
      <c r="B44" s="151" t="s">
        <v>130</v>
      </c>
      <c r="C44" s="24">
        <v>0</v>
      </c>
      <c r="D44" s="162"/>
      <c r="E44" s="170">
        <v>0</v>
      </c>
      <c r="F44" s="162"/>
      <c r="G44" s="16">
        <v>0</v>
      </c>
      <c r="H44" s="16"/>
      <c r="I44" s="22">
        <v>0</v>
      </c>
      <c r="J44" s="16"/>
      <c r="K44" s="22">
        <v>0</v>
      </c>
      <c r="L44" s="162"/>
    </row>
    <row r="45" spans="1:12" ht="15.75" customHeight="1">
      <c r="A45" s="152">
        <f t="shared" si="0"/>
        <v>38</v>
      </c>
      <c r="B45" s="149" t="s">
        <v>169</v>
      </c>
      <c r="C45" s="24">
        <v>31</v>
      </c>
      <c r="D45" s="16"/>
      <c r="E45" s="163">
        <v>0</v>
      </c>
      <c r="F45" s="163"/>
      <c r="G45" s="163">
        <v>331</v>
      </c>
      <c r="H45" s="163"/>
      <c r="I45" s="165">
        <v>0</v>
      </c>
      <c r="J45" s="165"/>
      <c r="K45" s="165">
        <v>0</v>
      </c>
      <c r="L45" s="165"/>
    </row>
    <row r="46" spans="1:12" ht="16.5" customHeight="1">
      <c r="A46" s="152">
        <f t="shared" si="0"/>
        <v>39</v>
      </c>
      <c r="B46" s="149" t="s">
        <v>131</v>
      </c>
      <c r="C46" s="24">
        <v>0</v>
      </c>
      <c r="D46" s="164"/>
      <c r="E46" s="163">
        <v>0</v>
      </c>
      <c r="F46" s="164"/>
      <c r="G46" s="163">
        <v>0</v>
      </c>
      <c r="H46" s="164"/>
      <c r="I46" s="165">
        <v>0</v>
      </c>
      <c r="J46" s="164"/>
      <c r="K46" s="165">
        <v>0</v>
      </c>
      <c r="L46" s="164"/>
    </row>
    <row r="47" spans="1:12" ht="17.25" customHeight="1">
      <c r="A47" s="152">
        <f t="shared" si="0"/>
        <v>40</v>
      </c>
      <c r="B47" s="149"/>
      <c r="C47" s="174"/>
      <c r="D47" s="164"/>
      <c r="E47" s="163"/>
      <c r="F47" s="164"/>
      <c r="G47" s="163"/>
      <c r="H47" s="164"/>
      <c r="I47" s="165"/>
      <c r="J47" s="164"/>
      <c r="K47" s="165"/>
      <c r="L47" s="164"/>
    </row>
    <row r="48" spans="1:12" ht="20.25" customHeight="1">
      <c r="A48" s="152">
        <f t="shared" si="0"/>
        <v>41</v>
      </c>
      <c r="B48" s="151"/>
      <c r="C48" s="24"/>
      <c r="D48" s="164"/>
      <c r="E48" s="163"/>
      <c r="F48" s="164"/>
      <c r="G48" s="163"/>
      <c r="H48" s="164"/>
      <c r="I48" s="165"/>
      <c r="J48" s="164"/>
      <c r="K48" s="165"/>
      <c r="L48" s="164"/>
    </row>
    <row r="49" spans="1:12" ht="18.75" customHeight="1">
      <c r="A49" s="152">
        <f t="shared" si="0"/>
        <v>42</v>
      </c>
      <c r="B49" s="151"/>
      <c r="C49" s="24"/>
      <c r="D49" s="164"/>
      <c r="E49" s="163"/>
      <c r="F49" s="164"/>
      <c r="G49" s="163"/>
      <c r="H49" s="164"/>
      <c r="I49" s="165"/>
      <c r="J49" s="164"/>
      <c r="K49" s="165"/>
      <c r="L49" s="164"/>
    </row>
    <row r="50" spans="1:12" ht="18.75" customHeight="1">
      <c r="A50" s="152">
        <f t="shared" si="0"/>
        <v>43</v>
      </c>
      <c r="B50" s="151"/>
      <c r="C50" s="24"/>
      <c r="D50" s="164"/>
      <c r="E50" s="163"/>
      <c r="F50" s="164"/>
      <c r="G50" s="163"/>
      <c r="H50" s="164"/>
      <c r="I50" s="165"/>
      <c r="J50" s="164"/>
      <c r="K50" s="165"/>
      <c r="L50" s="164"/>
    </row>
    <row r="51" spans="1:12" ht="15.75" customHeight="1">
      <c r="A51" s="152">
        <f t="shared" si="0"/>
        <v>44</v>
      </c>
      <c r="B51" s="151"/>
      <c r="C51" s="24"/>
      <c r="D51" s="164"/>
      <c r="E51" s="163"/>
      <c r="F51" s="164"/>
      <c r="G51" s="163"/>
      <c r="H51" s="164"/>
      <c r="I51" s="165"/>
      <c r="J51" s="164"/>
      <c r="K51" s="165"/>
      <c r="L51" s="164"/>
    </row>
    <row r="52" spans="1:12" ht="15" customHeight="1">
      <c r="A52" s="152">
        <f t="shared" si="0"/>
        <v>45</v>
      </c>
      <c r="B52" s="151"/>
      <c r="C52" s="24"/>
      <c r="D52" s="164"/>
      <c r="E52" s="163"/>
      <c r="F52" s="164"/>
      <c r="G52" s="163"/>
      <c r="H52" s="164"/>
      <c r="I52" s="165"/>
      <c r="J52" s="164"/>
      <c r="K52" s="165"/>
      <c r="L52" s="164"/>
    </row>
    <row r="53" spans="1:12" ht="17.25" customHeight="1">
      <c r="A53" s="148"/>
      <c r="B53" s="157" t="s">
        <v>88</v>
      </c>
      <c r="C53" s="155">
        <v>48</v>
      </c>
      <c r="D53" s="171"/>
      <c r="E53" s="155">
        <v>700</v>
      </c>
      <c r="F53" s="171"/>
      <c r="G53" s="155">
        <v>706</v>
      </c>
      <c r="H53" s="171"/>
      <c r="I53" s="171">
        <v>183</v>
      </c>
      <c r="J53" s="171"/>
      <c r="K53" s="171">
        <v>17</v>
      </c>
      <c r="L53" s="171"/>
    </row>
    <row r="54" spans="1:12" ht="18.75" customHeight="1">
      <c r="A54" s="152">
        <v>46</v>
      </c>
      <c r="B54" s="148" t="s">
        <v>38</v>
      </c>
      <c r="C54" s="24">
        <v>0</v>
      </c>
      <c r="D54" s="164"/>
      <c r="E54" s="163">
        <v>0</v>
      </c>
      <c r="F54" s="164"/>
      <c r="G54" s="163">
        <v>0</v>
      </c>
      <c r="H54" s="164"/>
      <c r="I54" s="165">
        <v>0</v>
      </c>
      <c r="J54" s="164"/>
      <c r="K54" s="165">
        <v>0</v>
      </c>
      <c r="L54" s="164"/>
    </row>
    <row r="55" spans="1:12" ht="21" customHeight="1">
      <c r="A55" s="152">
        <v>47</v>
      </c>
      <c r="B55" s="148" t="s">
        <v>165</v>
      </c>
      <c r="C55" s="24">
        <v>2</v>
      </c>
      <c r="D55" s="164"/>
      <c r="E55" s="170">
        <v>0</v>
      </c>
      <c r="F55" s="162"/>
      <c r="G55" s="16">
        <v>0</v>
      </c>
      <c r="H55" s="16"/>
      <c r="I55" s="22">
        <v>15</v>
      </c>
      <c r="J55" s="16"/>
      <c r="K55" s="22">
        <v>4</v>
      </c>
      <c r="L55" s="162"/>
    </row>
    <row r="56" spans="1:12" ht="16.5" customHeight="1">
      <c r="A56" s="152">
        <v>48</v>
      </c>
      <c r="B56" s="148" t="s">
        <v>66</v>
      </c>
      <c r="C56" s="24">
        <v>0</v>
      </c>
      <c r="D56" s="164"/>
      <c r="E56" s="163">
        <v>0</v>
      </c>
      <c r="F56" s="164"/>
      <c r="G56" s="163">
        <v>27</v>
      </c>
      <c r="H56" s="164"/>
      <c r="I56" s="165">
        <v>0</v>
      </c>
      <c r="J56" s="164"/>
      <c r="K56" s="165">
        <v>0</v>
      </c>
      <c r="L56" s="165"/>
    </row>
    <row r="57" spans="1:12" ht="18" customHeight="1">
      <c r="A57" s="152">
        <v>49</v>
      </c>
      <c r="B57" s="148" t="s">
        <v>67</v>
      </c>
      <c r="C57" s="24">
        <v>18</v>
      </c>
      <c r="D57" s="164"/>
      <c r="E57" s="164">
        <v>18</v>
      </c>
      <c r="F57" s="164"/>
      <c r="G57" s="163">
        <v>92</v>
      </c>
      <c r="H57" s="164"/>
      <c r="I57" s="165">
        <v>0</v>
      </c>
      <c r="J57" s="164"/>
      <c r="K57" s="165">
        <v>0</v>
      </c>
      <c r="L57" s="165"/>
    </row>
    <row r="58" spans="1:12" ht="15.75" customHeight="1">
      <c r="A58" s="152">
        <v>50</v>
      </c>
      <c r="B58" s="148" t="s">
        <v>30</v>
      </c>
      <c r="C58" s="24">
        <v>5</v>
      </c>
      <c r="D58" s="164"/>
      <c r="E58" s="163">
        <v>24</v>
      </c>
      <c r="F58" s="164"/>
      <c r="G58" s="163">
        <v>90</v>
      </c>
      <c r="H58" s="164"/>
      <c r="I58" s="165">
        <v>0</v>
      </c>
      <c r="J58" s="164"/>
      <c r="K58" s="165">
        <v>2</v>
      </c>
      <c r="L58" s="165"/>
    </row>
    <row r="59" spans="1:12" ht="18" customHeight="1">
      <c r="A59" s="152">
        <v>51</v>
      </c>
      <c r="B59" s="148" t="s">
        <v>96</v>
      </c>
      <c r="C59" s="24">
        <v>3</v>
      </c>
      <c r="D59" s="164"/>
      <c r="E59" s="163">
        <v>10</v>
      </c>
      <c r="G59" s="163">
        <v>100</v>
      </c>
      <c r="H59" s="164"/>
      <c r="I59" s="165">
        <v>0</v>
      </c>
      <c r="J59" s="164"/>
      <c r="K59" s="165">
        <v>1</v>
      </c>
      <c r="L59" s="165"/>
    </row>
    <row r="60" spans="1:12" ht="15.75" customHeight="1">
      <c r="A60" s="152">
        <v>52</v>
      </c>
      <c r="B60" s="148" t="s">
        <v>45</v>
      </c>
      <c r="C60" s="24">
        <v>0</v>
      </c>
      <c r="D60" s="164"/>
      <c r="E60" s="163">
        <v>0</v>
      </c>
      <c r="F60" s="164"/>
      <c r="G60" s="163">
        <v>0</v>
      </c>
      <c r="H60" s="164"/>
      <c r="I60" s="165">
        <v>2</v>
      </c>
      <c r="J60" s="164"/>
      <c r="K60" s="165">
        <v>0</v>
      </c>
      <c r="L60" s="165"/>
    </row>
    <row r="61" spans="1:12" ht="14.25" customHeight="1">
      <c r="A61" s="152">
        <v>53</v>
      </c>
      <c r="B61" s="149" t="s">
        <v>133</v>
      </c>
      <c r="C61" s="24">
        <v>0</v>
      </c>
      <c r="D61" s="164"/>
      <c r="E61" s="163">
        <v>0</v>
      </c>
      <c r="F61" s="164"/>
      <c r="G61" s="163">
        <v>0</v>
      </c>
      <c r="H61" s="164"/>
      <c r="I61" s="165">
        <v>0</v>
      </c>
      <c r="J61" s="164"/>
      <c r="K61" s="165">
        <v>0</v>
      </c>
      <c r="L61" s="165"/>
    </row>
    <row r="62" spans="1:12" ht="17.25" customHeight="1">
      <c r="A62" s="152">
        <v>54</v>
      </c>
      <c r="B62" s="149" t="s">
        <v>134</v>
      </c>
      <c r="C62" s="24">
        <v>0</v>
      </c>
      <c r="D62" s="164"/>
      <c r="E62" s="163">
        <v>0</v>
      </c>
      <c r="F62" s="164"/>
      <c r="G62" s="163">
        <v>0</v>
      </c>
      <c r="H62" s="164"/>
      <c r="I62" s="165">
        <v>0</v>
      </c>
      <c r="J62" s="164"/>
      <c r="K62" s="165">
        <v>0</v>
      </c>
      <c r="L62" s="165"/>
    </row>
    <row r="63" spans="1:12" ht="17.25" customHeight="1">
      <c r="A63" s="152">
        <v>55</v>
      </c>
      <c r="B63" s="151" t="s">
        <v>63</v>
      </c>
      <c r="C63" s="24">
        <v>0</v>
      </c>
      <c r="D63" s="164"/>
      <c r="E63" s="163">
        <v>0</v>
      </c>
      <c r="F63" s="164"/>
      <c r="G63" s="163">
        <v>31</v>
      </c>
      <c r="H63" s="164"/>
      <c r="I63" s="165">
        <v>0</v>
      </c>
      <c r="J63" s="164"/>
      <c r="K63" s="165">
        <v>0</v>
      </c>
      <c r="L63" s="165"/>
    </row>
    <row r="64" spans="1:12" ht="18" customHeight="1">
      <c r="A64" s="152">
        <v>56</v>
      </c>
      <c r="B64" s="148" t="s">
        <v>29</v>
      </c>
      <c r="C64" s="24">
        <v>20</v>
      </c>
      <c r="D64" s="164"/>
      <c r="E64" s="163">
        <v>648</v>
      </c>
      <c r="F64" s="164"/>
      <c r="G64" s="163">
        <v>366</v>
      </c>
      <c r="H64" s="164"/>
      <c r="I64" s="165">
        <v>166</v>
      </c>
      <c r="J64" s="164"/>
      <c r="K64" s="165">
        <v>10</v>
      </c>
      <c r="L64" s="165"/>
    </row>
    <row r="65" spans="1:12" ht="15.75" customHeight="1">
      <c r="A65" s="152">
        <v>57</v>
      </c>
      <c r="B65" s="148"/>
      <c r="C65" s="24"/>
      <c r="D65" s="164"/>
      <c r="E65" s="163"/>
      <c r="F65" s="164"/>
      <c r="G65" s="163"/>
      <c r="H65" s="164"/>
      <c r="I65" s="165"/>
      <c r="J65" s="164"/>
      <c r="K65" s="165"/>
      <c r="L65" s="165"/>
    </row>
    <row r="66" spans="1:12" ht="18.75" customHeight="1">
      <c r="A66" s="152">
        <v>58</v>
      </c>
      <c r="B66" s="148"/>
      <c r="C66" s="24"/>
      <c r="D66" s="164"/>
      <c r="E66" s="163"/>
      <c r="F66" s="164"/>
      <c r="G66" s="163"/>
      <c r="H66" s="164"/>
      <c r="I66" s="165"/>
      <c r="J66" s="164"/>
      <c r="K66" s="165"/>
      <c r="L66" s="165"/>
    </row>
    <row r="67" spans="1:12" ht="14.25" customHeight="1">
      <c r="A67" s="152">
        <v>59</v>
      </c>
      <c r="B67" s="148"/>
      <c r="C67" s="24"/>
      <c r="D67" s="164"/>
      <c r="E67" s="163"/>
      <c r="F67" s="164"/>
      <c r="G67" s="163"/>
      <c r="H67" s="164"/>
      <c r="I67" s="165"/>
      <c r="J67" s="164"/>
      <c r="K67" s="165"/>
      <c r="L67" s="165"/>
    </row>
    <row r="68" spans="1:12" ht="20.25" customHeight="1">
      <c r="A68" s="152">
        <v>60</v>
      </c>
      <c r="B68" s="148"/>
      <c r="C68" s="24"/>
      <c r="D68" s="164"/>
      <c r="E68" s="163"/>
      <c r="F68" s="164"/>
      <c r="G68" s="163"/>
      <c r="H68" s="164"/>
      <c r="I68" s="165"/>
      <c r="J68" s="164"/>
      <c r="K68" s="165"/>
      <c r="L68" s="165"/>
    </row>
    <row r="69" spans="1:12" ht="18.75" customHeight="1">
      <c r="A69" s="152">
        <v>61</v>
      </c>
      <c r="B69" s="148"/>
      <c r="C69" s="24"/>
      <c r="D69" s="164"/>
      <c r="E69" s="163"/>
      <c r="F69" s="164"/>
      <c r="G69" s="163"/>
      <c r="H69" s="164"/>
      <c r="I69" s="165"/>
      <c r="J69" s="164"/>
      <c r="K69" s="165"/>
      <c r="L69" s="165"/>
    </row>
    <row r="70" spans="1:12" ht="16.5" customHeight="1">
      <c r="A70" s="148"/>
      <c r="B70" s="157" t="s">
        <v>89</v>
      </c>
      <c r="C70" s="155">
        <v>328</v>
      </c>
      <c r="D70" s="171"/>
      <c r="E70" s="155">
        <v>519</v>
      </c>
      <c r="F70" s="171"/>
      <c r="G70" s="155">
        <v>2508</v>
      </c>
      <c r="H70" s="171"/>
      <c r="I70" s="171">
        <v>83</v>
      </c>
      <c r="J70" s="171"/>
      <c r="K70" s="171">
        <v>5</v>
      </c>
      <c r="L70" s="167"/>
    </row>
    <row r="71" spans="1:12" ht="15.75" customHeight="1">
      <c r="A71" s="152">
        <v>62</v>
      </c>
      <c r="B71" s="148" t="s">
        <v>100</v>
      </c>
      <c r="C71" s="24">
        <v>0</v>
      </c>
      <c r="D71" s="164"/>
      <c r="E71" s="163">
        <v>0</v>
      </c>
      <c r="F71" s="164"/>
      <c r="G71" s="163">
        <v>19</v>
      </c>
      <c r="H71" s="164"/>
      <c r="I71" s="165">
        <v>0</v>
      </c>
      <c r="J71" s="164"/>
      <c r="K71" s="165">
        <v>0</v>
      </c>
      <c r="L71" s="165"/>
    </row>
    <row r="72" spans="1:12" ht="18" customHeight="1">
      <c r="A72" s="152">
        <f aca="true" t="shared" si="1" ref="A72:A87">A71+1</f>
        <v>63</v>
      </c>
      <c r="B72" s="148" t="s">
        <v>101</v>
      </c>
      <c r="C72" s="24">
        <v>0</v>
      </c>
      <c r="D72" s="164"/>
      <c r="E72" s="163">
        <v>0</v>
      </c>
      <c r="F72" s="164"/>
      <c r="G72" s="163">
        <v>44</v>
      </c>
      <c r="H72" s="164"/>
      <c r="I72" s="165">
        <v>0</v>
      </c>
      <c r="J72" s="164"/>
      <c r="K72" s="165">
        <v>0</v>
      </c>
      <c r="L72" s="165"/>
    </row>
    <row r="73" spans="1:12" ht="15.75">
      <c r="A73" s="152">
        <f t="shared" si="1"/>
        <v>64</v>
      </c>
      <c r="B73" s="148" t="s">
        <v>102</v>
      </c>
      <c r="C73" s="24">
        <v>29</v>
      </c>
      <c r="D73" s="164"/>
      <c r="E73" s="16">
        <v>68</v>
      </c>
      <c r="F73" s="16"/>
      <c r="G73" s="16">
        <v>505</v>
      </c>
      <c r="H73" s="16"/>
      <c r="I73" s="22">
        <v>20</v>
      </c>
      <c r="J73" s="16"/>
      <c r="K73" s="22">
        <v>5</v>
      </c>
      <c r="L73" s="162"/>
    </row>
    <row r="74" spans="1:12" ht="16.5" customHeight="1">
      <c r="A74" s="152">
        <f t="shared" si="1"/>
        <v>65</v>
      </c>
      <c r="B74" s="148" t="s">
        <v>103</v>
      </c>
      <c r="C74" s="24">
        <v>4</v>
      </c>
      <c r="D74" s="164"/>
      <c r="E74" s="163">
        <v>0</v>
      </c>
      <c r="F74" s="164"/>
      <c r="G74" s="163">
        <v>17</v>
      </c>
      <c r="H74" s="164"/>
      <c r="I74" s="165">
        <v>0</v>
      </c>
      <c r="J74" s="164"/>
      <c r="K74" s="165">
        <v>0</v>
      </c>
      <c r="L74" s="164"/>
    </row>
    <row r="75" spans="1:12" ht="17.25" customHeight="1">
      <c r="A75" s="152">
        <f t="shared" si="1"/>
        <v>66</v>
      </c>
      <c r="B75" s="149" t="s">
        <v>137</v>
      </c>
      <c r="C75" s="24">
        <v>183</v>
      </c>
      <c r="D75" s="164"/>
      <c r="E75" s="163">
        <v>235</v>
      </c>
      <c r="F75" s="164"/>
      <c r="G75" s="163">
        <v>862</v>
      </c>
      <c r="H75" s="164"/>
      <c r="I75" s="165">
        <v>0</v>
      </c>
      <c r="J75" s="164"/>
      <c r="K75" s="165">
        <v>0</v>
      </c>
      <c r="L75" s="164"/>
    </row>
    <row r="76" spans="1:12" ht="19.5" customHeight="1">
      <c r="A76" s="152">
        <f t="shared" si="1"/>
        <v>67</v>
      </c>
      <c r="B76" s="148" t="s">
        <v>64</v>
      </c>
      <c r="C76" s="24">
        <v>55</v>
      </c>
      <c r="D76" s="164"/>
      <c r="E76" s="163">
        <v>187</v>
      </c>
      <c r="F76" s="164"/>
      <c r="G76" s="163">
        <v>431</v>
      </c>
      <c r="H76" s="164"/>
      <c r="I76" s="165">
        <v>25</v>
      </c>
      <c r="J76" s="164"/>
      <c r="K76" s="165">
        <v>0</v>
      </c>
      <c r="L76" s="164"/>
    </row>
    <row r="77" spans="1:12" ht="15.75" customHeight="1">
      <c r="A77" s="152">
        <f t="shared" si="1"/>
        <v>68</v>
      </c>
      <c r="B77" s="148" t="s">
        <v>32</v>
      </c>
      <c r="C77" s="24">
        <v>0</v>
      </c>
      <c r="D77" s="164"/>
      <c r="E77" s="163">
        <v>0</v>
      </c>
      <c r="F77" s="164"/>
      <c r="G77" s="163">
        <v>0</v>
      </c>
      <c r="H77" s="164"/>
      <c r="I77" s="165">
        <v>0</v>
      </c>
      <c r="J77" s="164"/>
      <c r="K77" s="165">
        <v>0</v>
      </c>
      <c r="L77" s="164"/>
    </row>
    <row r="78" spans="1:12" ht="18" customHeight="1">
      <c r="A78" s="152">
        <f t="shared" si="1"/>
        <v>69</v>
      </c>
      <c r="B78" s="151" t="s">
        <v>44</v>
      </c>
      <c r="C78" s="24">
        <v>0</v>
      </c>
      <c r="D78" s="164"/>
      <c r="E78" s="163">
        <v>0</v>
      </c>
      <c r="F78" s="164"/>
      <c r="G78" s="163">
        <v>0</v>
      </c>
      <c r="H78" s="164"/>
      <c r="I78" s="165">
        <v>0</v>
      </c>
      <c r="J78" s="164"/>
      <c r="K78" s="165">
        <v>0</v>
      </c>
      <c r="L78" s="164"/>
    </row>
    <row r="79" spans="1:12" ht="15.75" customHeight="1">
      <c r="A79" s="152">
        <f t="shared" si="1"/>
        <v>70</v>
      </c>
      <c r="B79" s="148" t="s">
        <v>31</v>
      </c>
      <c r="C79" s="24">
        <v>6</v>
      </c>
      <c r="D79" s="164"/>
      <c r="E79" s="163">
        <v>4</v>
      </c>
      <c r="F79" s="164"/>
      <c r="G79" s="163">
        <v>100</v>
      </c>
      <c r="H79" s="164"/>
      <c r="I79" s="165">
        <v>0</v>
      </c>
      <c r="J79" s="164"/>
      <c r="K79" s="165">
        <v>0</v>
      </c>
      <c r="L79" s="164"/>
    </row>
    <row r="80" spans="1:12" ht="19.5" customHeight="1">
      <c r="A80" s="152">
        <f t="shared" si="1"/>
        <v>71</v>
      </c>
      <c r="B80" s="149" t="s">
        <v>138</v>
      </c>
      <c r="C80" s="24">
        <v>12</v>
      </c>
      <c r="D80" s="164"/>
      <c r="E80" s="163">
        <v>25</v>
      </c>
      <c r="F80" s="164"/>
      <c r="G80" s="163">
        <v>190</v>
      </c>
      <c r="H80" s="164"/>
      <c r="I80" s="165">
        <v>0</v>
      </c>
      <c r="J80" s="164"/>
      <c r="K80" s="165">
        <v>0</v>
      </c>
      <c r="L80" s="164"/>
    </row>
    <row r="81" spans="1:12" ht="19.5" customHeight="1">
      <c r="A81" s="152">
        <f t="shared" si="1"/>
        <v>72</v>
      </c>
      <c r="B81" s="151" t="s">
        <v>136</v>
      </c>
      <c r="C81" s="24">
        <v>36</v>
      </c>
      <c r="D81" s="164"/>
      <c r="E81" s="163">
        <v>0</v>
      </c>
      <c r="F81" s="164"/>
      <c r="G81" s="163">
        <v>240</v>
      </c>
      <c r="H81" s="164"/>
      <c r="I81" s="165">
        <v>26</v>
      </c>
      <c r="J81" s="164"/>
      <c r="K81" s="165">
        <v>0</v>
      </c>
      <c r="L81" s="164"/>
    </row>
    <row r="82" spans="1:12" ht="15.75" customHeight="1">
      <c r="A82" s="152">
        <f t="shared" si="1"/>
        <v>73</v>
      </c>
      <c r="B82" s="149" t="s">
        <v>135</v>
      </c>
      <c r="C82" s="24">
        <v>3</v>
      </c>
      <c r="D82" s="164"/>
      <c r="E82" s="163">
        <v>0</v>
      </c>
      <c r="F82" s="164"/>
      <c r="G82" s="163">
        <v>100</v>
      </c>
      <c r="H82" s="164"/>
      <c r="I82" s="165">
        <v>12</v>
      </c>
      <c r="J82" s="164"/>
      <c r="K82" s="165">
        <v>0</v>
      </c>
      <c r="L82" s="164"/>
    </row>
    <row r="83" spans="1:12" ht="17.25" customHeight="1">
      <c r="A83" s="152">
        <f t="shared" si="1"/>
        <v>74</v>
      </c>
      <c r="B83" s="150" t="s">
        <v>17</v>
      </c>
      <c r="C83" s="132">
        <v>0</v>
      </c>
      <c r="D83" s="168"/>
      <c r="E83" s="169">
        <v>0</v>
      </c>
      <c r="F83" s="168"/>
      <c r="G83" s="169">
        <v>0</v>
      </c>
      <c r="H83" s="168"/>
      <c r="I83" s="168">
        <v>0</v>
      </c>
      <c r="J83" s="168"/>
      <c r="K83" s="168">
        <v>0</v>
      </c>
      <c r="L83" s="168"/>
    </row>
    <row r="84" spans="1:12" ht="15.75" customHeight="1">
      <c r="A84" s="152">
        <f t="shared" si="1"/>
        <v>75</v>
      </c>
      <c r="B84" s="151" t="s">
        <v>65</v>
      </c>
      <c r="C84" s="24">
        <v>0</v>
      </c>
      <c r="D84" s="164"/>
      <c r="E84" s="163">
        <v>0</v>
      </c>
      <c r="F84" s="164"/>
      <c r="G84" s="163">
        <v>0</v>
      </c>
      <c r="H84" s="164"/>
      <c r="I84" s="165">
        <v>0</v>
      </c>
      <c r="J84" s="164"/>
      <c r="K84" s="165">
        <v>0</v>
      </c>
      <c r="L84" s="164"/>
    </row>
    <row r="85" spans="1:12" ht="12.75">
      <c r="A85" s="152">
        <f t="shared" si="1"/>
        <v>76</v>
      </c>
      <c r="B85" s="149"/>
      <c r="C85" s="174"/>
      <c r="D85" s="164"/>
      <c r="E85" s="163"/>
      <c r="F85" s="164"/>
      <c r="G85" s="163"/>
      <c r="H85" s="164"/>
      <c r="I85" s="165"/>
      <c r="J85" s="164"/>
      <c r="K85" s="165"/>
      <c r="L85" s="164"/>
    </row>
    <row r="86" spans="1:12" ht="12.75">
      <c r="A86" s="152">
        <f t="shared" si="1"/>
        <v>77</v>
      </c>
      <c r="B86" s="149"/>
      <c r="C86" s="9"/>
      <c r="D86" s="164"/>
      <c r="E86" s="163"/>
      <c r="F86" s="164"/>
      <c r="G86" s="163"/>
      <c r="H86" s="164"/>
      <c r="I86" s="165"/>
      <c r="J86" s="164"/>
      <c r="K86" s="165"/>
      <c r="L86" s="164"/>
    </row>
    <row r="87" spans="1:12" ht="15.75">
      <c r="A87" s="152">
        <f t="shared" si="1"/>
        <v>78</v>
      </c>
      <c r="B87" s="149"/>
      <c r="C87" s="9"/>
      <c r="D87" s="164"/>
      <c r="E87" s="162"/>
      <c r="F87" s="162"/>
      <c r="G87" s="162"/>
      <c r="H87" s="162"/>
      <c r="I87" s="166"/>
      <c r="J87" s="162"/>
      <c r="K87" s="166"/>
      <c r="L87" s="162"/>
    </row>
    <row r="88" spans="1:12" ht="18.75" customHeight="1">
      <c r="A88" s="153" t="s">
        <v>170</v>
      </c>
      <c r="B88" s="157" t="s">
        <v>171</v>
      </c>
      <c r="C88" s="155">
        <v>73</v>
      </c>
      <c r="D88" s="171"/>
      <c r="E88" s="155">
        <v>108</v>
      </c>
      <c r="F88" s="171"/>
      <c r="G88" s="155">
        <v>671</v>
      </c>
      <c r="H88" s="171"/>
      <c r="I88" s="171">
        <v>314</v>
      </c>
      <c r="J88" s="171"/>
      <c r="K88" s="171">
        <v>63</v>
      </c>
      <c r="L88" s="171"/>
    </row>
    <row r="89" spans="1:12" ht="12.75">
      <c r="A89" s="152">
        <v>79</v>
      </c>
      <c r="B89" s="148" t="s">
        <v>33</v>
      </c>
      <c r="C89" s="24">
        <v>0</v>
      </c>
      <c r="D89" s="164"/>
      <c r="E89" s="163">
        <v>0</v>
      </c>
      <c r="F89" s="164"/>
      <c r="G89" s="163">
        <v>0</v>
      </c>
      <c r="H89" s="164"/>
      <c r="I89" s="165">
        <v>0</v>
      </c>
      <c r="J89" s="164"/>
      <c r="K89" s="165">
        <v>0</v>
      </c>
      <c r="L89" s="164"/>
    </row>
    <row r="90" spans="1:12" ht="12.75">
      <c r="A90" s="152">
        <v>80</v>
      </c>
      <c r="B90" s="149" t="s">
        <v>71</v>
      </c>
      <c r="C90" s="24">
        <v>0</v>
      </c>
      <c r="D90" s="164"/>
      <c r="E90" s="163">
        <v>0</v>
      </c>
      <c r="F90" s="164"/>
      <c r="G90" s="163">
        <v>0</v>
      </c>
      <c r="H90" s="163"/>
      <c r="I90" s="165">
        <v>0</v>
      </c>
      <c r="J90" s="165"/>
      <c r="K90" s="165">
        <v>0</v>
      </c>
      <c r="L90" s="165"/>
    </row>
    <row r="91" spans="1:12" ht="12.75">
      <c r="A91" s="152">
        <v>81</v>
      </c>
      <c r="B91" s="148" t="s">
        <v>69</v>
      </c>
      <c r="C91" s="24">
        <v>0</v>
      </c>
      <c r="D91" s="164"/>
      <c r="E91" s="163">
        <v>11</v>
      </c>
      <c r="F91" s="164"/>
      <c r="G91" s="163">
        <v>61</v>
      </c>
      <c r="H91" s="164"/>
      <c r="I91" s="165">
        <v>21</v>
      </c>
      <c r="J91" s="164"/>
      <c r="K91" s="165">
        <v>5</v>
      </c>
      <c r="L91" s="164"/>
    </row>
    <row r="92" spans="1:12" ht="15.75">
      <c r="A92" s="152">
        <v>82</v>
      </c>
      <c r="B92" s="148" t="s">
        <v>68</v>
      </c>
      <c r="C92" s="24">
        <v>0</v>
      </c>
      <c r="D92" s="18"/>
      <c r="E92" s="16">
        <v>0</v>
      </c>
      <c r="F92" s="16"/>
      <c r="G92" s="16">
        <v>0</v>
      </c>
      <c r="H92" s="16"/>
      <c r="I92" s="22">
        <v>10</v>
      </c>
      <c r="J92" s="16"/>
      <c r="K92" s="22">
        <v>4</v>
      </c>
      <c r="L92" s="162"/>
    </row>
    <row r="93" spans="1:12" ht="12.75">
      <c r="A93" s="152">
        <v>83</v>
      </c>
      <c r="B93" s="148" t="s">
        <v>166</v>
      </c>
      <c r="C93" s="24">
        <v>0</v>
      </c>
      <c r="D93" s="164"/>
      <c r="E93" s="163">
        <v>0</v>
      </c>
      <c r="F93" s="164"/>
      <c r="G93" s="163">
        <v>0</v>
      </c>
      <c r="H93" s="164"/>
      <c r="I93" s="165">
        <v>15</v>
      </c>
      <c r="J93" s="164"/>
      <c r="K93" s="165">
        <v>5</v>
      </c>
      <c r="L93" s="164"/>
    </row>
    <row r="94" spans="1:12" ht="12.75">
      <c r="A94" s="152">
        <v>84</v>
      </c>
      <c r="B94" s="148" t="s">
        <v>54</v>
      </c>
      <c r="C94" s="24">
        <v>24</v>
      </c>
      <c r="D94" s="164"/>
      <c r="E94" s="163">
        <v>15</v>
      </c>
      <c r="F94" s="164"/>
      <c r="G94" s="163">
        <v>100</v>
      </c>
      <c r="H94" s="164"/>
      <c r="I94" s="165">
        <v>28</v>
      </c>
      <c r="J94" s="164"/>
      <c r="K94" s="165">
        <v>6</v>
      </c>
      <c r="L94" s="164"/>
    </row>
    <row r="95" spans="1:12" ht="12.75">
      <c r="A95" s="152">
        <v>85</v>
      </c>
      <c r="B95" s="148" t="s">
        <v>40</v>
      </c>
      <c r="C95" s="24">
        <v>0</v>
      </c>
      <c r="D95" s="164"/>
      <c r="E95" s="163">
        <v>0</v>
      </c>
      <c r="F95" s="164"/>
      <c r="G95" s="163">
        <v>0</v>
      </c>
      <c r="H95" s="164"/>
      <c r="I95" s="165">
        <v>0</v>
      </c>
      <c r="J95" s="164"/>
      <c r="K95" s="165">
        <v>0</v>
      </c>
      <c r="L95" s="164"/>
    </row>
    <row r="96" spans="1:12" ht="12.75">
      <c r="A96" s="152">
        <v>86</v>
      </c>
      <c r="B96" s="148" t="s">
        <v>46</v>
      </c>
      <c r="C96" s="24">
        <v>4</v>
      </c>
      <c r="D96" s="164"/>
      <c r="E96" s="163">
        <v>10</v>
      </c>
      <c r="F96" s="164"/>
      <c r="G96" s="163">
        <v>100</v>
      </c>
      <c r="H96" s="164"/>
      <c r="I96" s="165">
        <v>0</v>
      </c>
      <c r="J96" s="164"/>
      <c r="K96" s="165">
        <v>5</v>
      </c>
      <c r="L96" s="164"/>
    </row>
    <row r="97" spans="1:12" ht="12.75">
      <c r="A97" s="152">
        <v>87</v>
      </c>
      <c r="B97" s="160" t="s">
        <v>18</v>
      </c>
      <c r="C97" s="132">
        <v>0</v>
      </c>
      <c r="D97" s="168"/>
      <c r="E97" s="169">
        <v>0</v>
      </c>
      <c r="F97" s="168"/>
      <c r="G97" s="169">
        <v>0</v>
      </c>
      <c r="H97" s="168"/>
      <c r="I97" s="168">
        <v>0</v>
      </c>
      <c r="J97" s="168"/>
      <c r="K97" s="168">
        <v>0</v>
      </c>
      <c r="L97" s="168"/>
    </row>
    <row r="98" spans="1:12" ht="12.75">
      <c r="A98" s="152">
        <v>88</v>
      </c>
      <c r="B98" s="148" t="s">
        <v>29</v>
      </c>
      <c r="C98" s="24">
        <v>32</v>
      </c>
      <c r="D98" s="164"/>
      <c r="E98" s="163">
        <v>50</v>
      </c>
      <c r="F98" s="164"/>
      <c r="G98" s="163">
        <v>309</v>
      </c>
      <c r="H98" s="164"/>
      <c r="I98" s="165">
        <v>206</v>
      </c>
      <c r="J98" s="164"/>
      <c r="K98" s="165">
        <v>35</v>
      </c>
      <c r="L98" s="164"/>
    </row>
    <row r="99" spans="1:12" ht="12.75">
      <c r="A99" s="152">
        <v>89</v>
      </c>
      <c r="B99" s="151" t="s">
        <v>70</v>
      </c>
      <c r="C99" s="24">
        <v>0</v>
      </c>
      <c r="D99" s="164"/>
      <c r="E99" s="163">
        <v>0</v>
      </c>
      <c r="F99" s="164"/>
      <c r="G99" s="163">
        <v>0</v>
      </c>
      <c r="H99" s="164"/>
      <c r="I99" s="165">
        <v>0</v>
      </c>
      <c r="J99" s="164"/>
      <c r="K99" s="165">
        <v>0</v>
      </c>
      <c r="L99" s="164"/>
    </row>
    <row r="100" spans="1:12" ht="12.75">
      <c r="A100" s="152">
        <v>90</v>
      </c>
      <c r="B100" s="148" t="s">
        <v>167</v>
      </c>
      <c r="C100" s="24">
        <v>3</v>
      </c>
      <c r="D100" s="164"/>
      <c r="E100" s="163">
        <v>0</v>
      </c>
      <c r="F100" s="164"/>
      <c r="G100" s="163">
        <v>12</v>
      </c>
      <c r="H100" s="164"/>
      <c r="I100" s="165">
        <v>6</v>
      </c>
      <c r="J100" s="164"/>
      <c r="K100" s="165">
        <v>0</v>
      </c>
      <c r="L100" s="164"/>
    </row>
    <row r="101" spans="1:12" ht="12.75">
      <c r="A101" s="152">
        <v>91</v>
      </c>
      <c r="B101" s="148" t="s">
        <v>104</v>
      </c>
      <c r="C101" s="24">
        <v>4</v>
      </c>
      <c r="D101" s="164"/>
      <c r="E101" s="163">
        <v>0</v>
      </c>
      <c r="F101" s="164"/>
      <c r="G101" s="163">
        <v>15</v>
      </c>
      <c r="H101" s="164"/>
      <c r="I101" s="165">
        <v>12</v>
      </c>
      <c r="J101" s="164"/>
      <c r="K101" s="165">
        <v>0</v>
      </c>
      <c r="L101" s="164"/>
    </row>
    <row r="102" spans="1:12" ht="12.75">
      <c r="A102" s="152">
        <v>92</v>
      </c>
      <c r="B102" s="149" t="s">
        <v>139</v>
      </c>
      <c r="C102" s="24">
        <v>0</v>
      </c>
      <c r="D102" s="164"/>
      <c r="E102" s="163">
        <v>0</v>
      </c>
      <c r="F102" s="164"/>
      <c r="G102" s="163">
        <v>0</v>
      </c>
      <c r="H102" s="164"/>
      <c r="I102" s="165">
        <v>0</v>
      </c>
      <c r="J102" s="164"/>
      <c r="K102" s="165">
        <v>0</v>
      </c>
      <c r="L102" s="164"/>
    </row>
    <row r="103" spans="1:12" ht="12.75">
      <c r="A103" s="152">
        <v>93</v>
      </c>
      <c r="B103" s="149" t="s">
        <v>140</v>
      </c>
      <c r="C103" s="24">
        <v>6</v>
      </c>
      <c r="D103" s="164"/>
      <c r="E103" s="163">
        <v>22</v>
      </c>
      <c r="F103" s="164"/>
      <c r="G103" s="163">
        <v>74</v>
      </c>
      <c r="H103" s="164"/>
      <c r="I103" s="165">
        <v>16</v>
      </c>
      <c r="J103" s="164"/>
      <c r="K103" s="165">
        <v>3</v>
      </c>
      <c r="L103" s="164"/>
    </row>
    <row r="104" spans="1:12" ht="12.75">
      <c r="A104" s="152">
        <v>94</v>
      </c>
      <c r="B104" s="149" t="s">
        <v>141</v>
      </c>
      <c r="C104" s="24">
        <v>0</v>
      </c>
      <c r="D104" s="164"/>
      <c r="E104" s="163">
        <v>0</v>
      </c>
      <c r="F104" s="164"/>
      <c r="G104" s="163">
        <v>0</v>
      </c>
      <c r="H104" s="164"/>
      <c r="I104" s="165">
        <v>0</v>
      </c>
      <c r="J104" s="164"/>
      <c r="K104" s="165">
        <v>0</v>
      </c>
      <c r="L104" s="164"/>
    </row>
    <row r="105" spans="1:12" ht="12.75">
      <c r="A105" s="152">
        <v>95</v>
      </c>
      <c r="B105" s="149" t="s">
        <v>172</v>
      </c>
      <c r="C105" s="24">
        <v>0</v>
      </c>
      <c r="D105" s="164"/>
      <c r="E105" s="163">
        <v>0</v>
      </c>
      <c r="F105" s="164"/>
      <c r="G105" s="163">
        <v>0</v>
      </c>
      <c r="H105" s="164"/>
      <c r="I105" s="165">
        <v>0</v>
      </c>
      <c r="J105" s="164"/>
      <c r="K105" s="165">
        <v>0</v>
      </c>
      <c r="L105" s="164"/>
    </row>
    <row r="106" spans="1:12" ht="12.75">
      <c r="A106" s="152">
        <v>96</v>
      </c>
      <c r="B106" s="148"/>
      <c r="C106" s="24"/>
      <c r="D106" s="164"/>
      <c r="E106" s="163"/>
      <c r="F106" s="164"/>
      <c r="G106" s="163"/>
      <c r="H106" s="164"/>
      <c r="I106" s="165"/>
      <c r="J106" s="164"/>
      <c r="K106" s="165"/>
      <c r="L106" s="164"/>
    </row>
    <row r="107" spans="1:12" ht="12.75">
      <c r="A107" s="152">
        <v>97</v>
      </c>
      <c r="B107" s="149"/>
      <c r="C107" s="24"/>
      <c r="D107" s="164"/>
      <c r="E107" s="163"/>
      <c r="F107" s="164"/>
      <c r="G107" s="163"/>
      <c r="H107" s="164"/>
      <c r="I107" s="165"/>
      <c r="J107" s="164"/>
      <c r="K107" s="165"/>
      <c r="L107" s="164"/>
    </row>
    <row r="108" spans="1:12" ht="12.75">
      <c r="A108" s="152">
        <v>98</v>
      </c>
      <c r="B108" s="149"/>
      <c r="C108" s="24"/>
      <c r="D108" s="164"/>
      <c r="E108" s="163"/>
      <c r="F108" s="164"/>
      <c r="G108" s="163"/>
      <c r="H108" s="164"/>
      <c r="I108" s="165"/>
      <c r="J108" s="164"/>
      <c r="K108" s="165"/>
      <c r="L108" s="164"/>
    </row>
    <row r="109" spans="1:12" ht="12.75">
      <c r="A109" s="152">
        <v>99</v>
      </c>
      <c r="B109" s="149"/>
      <c r="C109" s="24"/>
      <c r="D109" s="164"/>
      <c r="E109" s="163"/>
      <c r="F109" s="164"/>
      <c r="G109" s="163"/>
      <c r="H109" s="164"/>
      <c r="I109" s="165"/>
      <c r="J109" s="164"/>
      <c r="K109" s="165"/>
      <c r="L109" s="164"/>
    </row>
    <row r="110" spans="1:12" ht="12.75">
      <c r="A110" s="152">
        <v>100</v>
      </c>
      <c r="B110" s="149"/>
      <c r="C110" s="24"/>
      <c r="D110" s="164"/>
      <c r="E110" s="163"/>
      <c r="F110" s="164"/>
      <c r="G110" s="163"/>
      <c r="H110" s="164"/>
      <c r="I110" s="165"/>
      <c r="J110" s="164"/>
      <c r="K110" s="165"/>
      <c r="L110" s="164"/>
    </row>
    <row r="111" spans="1:12" ht="12.75">
      <c r="A111" s="152">
        <v>101</v>
      </c>
      <c r="B111" s="149"/>
      <c r="C111" s="24"/>
      <c r="D111" s="164"/>
      <c r="E111" s="163"/>
      <c r="F111" s="164"/>
      <c r="G111" s="163"/>
      <c r="H111" s="164"/>
      <c r="I111" s="165"/>
      <c r="J111" s="164"/>
      <c r="K111" s="165"/>
      <c r="L111" s="164"/>
    </row>
    <row r="112" spans="1:12" ht="15.75">
      <c r="A112" s="149"/>
      <c r="B112" s="159" t="s">
        <v>123</v>
      </c>
      <c r="C112" s="155">
        <v>50</v>
      </c>
      <c r="D112" s="171"/>
      <c r="E112" s="155">
        <v>127</v>
      </c>
      <c r="F112" s="171"/>
      <c r="G112" s="155">
        <v>256</v>
      </c>
      <c r="H112" s="171"/>
      <c r="I112" s="171">
        <v>43</v>
      </c>
      <c r="J112" s="171"/>
      <c r="K112" s="171">
        <v>7</v>
      </c>
      <c r="L112" s="171"/>
    </row>
    <row r="113" spans="1:12" ht="12.75">
      <c r="A113" s="152">
        <v>102</v>
      </c>
      <c r="B113" s="148" t="s">
        <v>19</v>
      </c>
      <c r="C113" s="24">
        <v>11</v>
      </c>
      <c r="D113" s="164"/>
      <c r="E113" s="163">
        <v>75</v>
      </c>
      <c r="F113" s="164"/>
      <c r="G113" s="163">
        <v>129</v>
      </c>
      <c r="H113" s="164"/>
      <c r="I113" s="165">
        <v>0</v>
      </c>
      <c r="J113" s="164"/>
      <c r="K113" s="165">
        <v>0</v>
      </c>
      <c r="L113" s="164"/>
    </row>
    <row r="114" spans="1:12" ht="12.75">
      <c r="A114" s="152">
        <v>103</v>
      </c>
      <c r="B114" s="148" t="s">
        <v>39</v>
      </c>
      <c r="C114" s="24">
        <v>1</v>
      </c>
      <c r="D114" s="164"/>
      <c r="E114" s="163">
        <v>4</v>
      </c>
      <c r="F114" s="164"/>
      <c r="G114" s="163">
        <v>21</v>
      </c>
      <c r="H114" s="164"/>
      <c r="I114" s="165">
        <v>2</v>
      </c>
      <c r="J114" s="164"/>
      <c r="K114" s="165">
        <v>2</v>
      </c>
      <c r="L114" s="164"/>
    </row>
    <row r="115" spans="1:12" ht="12.75">
      <c r="A115" s="152">
        <v>104</v>
      </c>
      <c r="B115" s="160" t="s">
        <v>20</v>
      </c>
      <c r="C115" s="132">
        <v>0</v>
      </c>
      <c r="D115" s="168"/>
      <c r="E115" s="169">
        <v>0</v>
      </c>
      <c r="F115" s="168"/>
      <c r="G115" s="169">
        <v>0</v>
      </c>
      <c r="H115" s="168"/>
      <c r="I115" s="168">
        <v>0</v>
      </c>
      <c r="J115" s="168"/>
      <c r="K115" s="168">
        <v>0</v>
      </c>
      <c r="L115" s="168"/>
    </row>
    <row r="116" spans="1:12" ht="12.75">
      <c r="A116" s="152">
        <v>105</v>
      </c>
      <c r="B116" s="148" t="s">
        <v>168</v>
      </c>
      <c r="C116" s="24">
        <v>3</v>
      </c>
      <c r="D116" s="164"/>
      <c r="E116" s="163">
        <v>21</v>
      </c>
      <c r="F116" s="164"/>
      <c r="G116" s="163">
        <v>42</v>
      </c>
      <c r="H116" s="164"/>
      <c r="I116" s="165">
        <v>28</v>
      </c>
      <c r="J116" s="164"/>
      <c r="K116" s="165">
        <v>2</v>
      </c>
      <c r="L116" s="164"/>
    </row>
    <row r="117" spans="1:12" ht="12.75">
      <c r="A117" s="152">
        <v>106</v>
      </c>
      <c r="B117" s="151" t="s">
        <v>141</v>
      </c>
      <c r="C117" s="24">
        <v>5</v>
      </c>
      <c r="D117" s="164"/>
      <c r="E117" s="163">
        <v>10</v>
      </c>
      <c r="F117" s="164"/>
      <c r="G117" s="163">
        <v>21</v>
      </c>
      <c r="H117" s="164"/>
      <c r="I117" s="165">
        <v>8</v>
      </c>
      <c r="J117" s="164"/>
      <c r="K117" s="165">
        <v>1</v>
      </c>
      <c r="L117" s="164"/>
    </row>
    <row r="118" spans="1:12" ht="12.75">
      <c r="A118" s="152">
        <v>107</v>
      </c>
      <c r="B118" s="149" t="s">
        <v>143</v>
      </c>
      <c r="C118" s="24">
        <v>30</v>
      </c>
      <c r="D118" s="164"/>
      <c r="E118" s="163">
        <v>17</v>
      </c>
      <c r="F118" s="164"/>
      <c r="G118" s="163">
        <v>43</v>
      </c>
      <c r="H118" s="164"/>
      <c r="I118" s="165">
        <v>5</v>
      </c>
      <c r="J118" s="164"/>
      <c r="K118" s="165">
        <v>2</v>
      </c>
      <c r="L118" s="164"/>
    </row>
    <row r="119" spans="1:12" ht="12.75">
      <c r="A119" s="152">
        <v>108</v>
      </c>
      <c r="B119" s="148"/>
      <c r="C119" s="174"/>
      <c r="D119" s="164"/>
      <c r="E119" s="163"/>
      <c r="F119" s="164"/>
      <c r="G119" s="163"/>
      <c r="H119" s="164"/>
      <c r="I119" s="165"/>
      <c r="J119" s="164"/>
      <c r="K119" s="165"/>
      <c r="L119" s="164"/>
    </row>
    <row r="120" spans="1:12" ht="12.75">
      <c r="A120" s="152">
        <v>109</v>
      </c>
      <c r="B120" s="149"/>
      <c r="C120" s="24"/>
      <c r="D120" s="164"/>
      <c r="E120" s="163"/>
      <c r="F120" s="164"/>
      <c r="G120" s="163"/>
      <c r="H120" s="164"/>
      <c r="I120" s="165"/>
      <c r="J120" s="164"/>
      <c r="K120" s="165"/>
      <c r="L120" s="164"/>
    </row>
    <row r="121" spans="1:12" ht="12.75">
      <c r="A121" s="152">
        <v>110</v>
      </c>
      <c r="B121" s="149"/>
      <c r="C121" s="24"/>
      <c r="D121" s="164"/>
      <c r="E121" s="163"/>
      <c r="F121" s="164"/>
      <c r="G121" s="163"/>
      <c r="H121" s="164"/>
      <c r="I121" s="165"/>
      <c r="J121" s="164"/>
      <c r="K121" s="165"/>
      <c r="L121" s="164"/>
    </row>
    <row r="122" spans="1:12" ht="12.75">
      <c r="A122" s="152">
        <v>111</v>
      </c>
      <c r="B122" s="149"/>
      <c r="C122" s="24"/>
      <c r="D122" s="164"/>
      <c r="E122" s="163"/>
      <c r="F122" s="164"/>
      <c r="G122" s="163"/>
      <c r="H122" s="164"/>
      <c r="I122" s="165"/>
      <c r="J122" s="164"/>
      <c r="K122" s="165"/>
      <c r="L122" s="164"/>
    </row>
    <row r="123" spans="1:12" ht="12.75">
      <c r="A123" s="152">
        <v>112</v>
      </c>
      <c r="B123" s="149"/>
      <c r="C123" s="24"/>
      <c r="D123" s="164"/>
      <c r="E123" s="163"/>
      <c r="F123" s="164"/>
      <c r="G123" s="163"/>
      <c r="H123" s="164"/>
      <c r="I123" s="165"/>
      <c r="J123" s="164"/>
      <c r="K123" s="165"/>
      <c r="L123" s="164"/>
    </row>
    <row r="124" spans="1:12" ht="15.75">
      <c r="A124" s="149" t="s">
        <v>173</v>
      </c>
      <c r="B124" s="157" t="s">
        <v>174</v>
      </c>
      <c r="C124" s="155">
        <v>77</v>
      </c>
      <c r="D124" s="171"/>
      <c r="E124" s="155">
        <v>375</v>
      </c>
      <c r="F124" s="171"/>
      <c r="G124" s="155">
        <v>578</v>
      </c>
      <c r="H124" s="171"/>
      <c r="I124" s="171">
        <v>92</v>
      </c>
      <c r="J124" s="171"/>
      <c r="K124" s="171">
        <v>36</v>
      </c>
      <c r="L124" s="167"/>
    </row>
    <row r="125" spans="1:12" ht="12.75">
      <c r="A125" s="152">
        <v>113</v>
      </c>
      <c r="B125" s="148" t="s">
        <v>34</v>
      </c>
      <c r="C125" s="24">
        <v>3</v>
      </c>
      <c r="D125" s="164"/>
      <c r="E125" s="163">
        <v>4</v>
      </c>
      <c r="F125" s="164"/>
      <c r="G125" s="163">
        <v>20</v>
      </c>
      <c r="H125" s="164"/>
      <c r="I125" s="165">
        <v>0</v>
      </c>
      <c r="J125" s="164"/>
      <c r="K125" s="165">
        <v>0</v>
      </c>
      <c r="L125" s="164"/>
    </row>
    <row r="126" spans="1:12" ht="12.75">
      <c r="A126" s="152">
        <v>114</v>
      </c>
      <c r="B126" s="148" t="s">
        <v>21</v>
      </c>
      <c r="C126" s="24">
        <v>0</v>
      </c>
      <c r="D126" s="164"/>
      <c r="E126" s="163">
        <v>0</v>
      </c>
      <c r="F126" s="164"/>
      <c r="G126" s="163">
        <v>0</v>
      </c>
      <c r="H126" s="164"/>
      <c r="I126" s="165">
        <v>0</v>
      </c>
      <c r="J126" s="164"/>
      <c r="K126" s="165">
        <v>0</v>
      </c>
      <c r="L126" s="164"/>
    </row>
    <row r="127" spans="1:12" ht="12.75">
      <c r="A127" s="152">
        <v>115</v>
      </c>
      <c r="B127" s="149" t="s">
        <v>72</v>
      </c>
      <c r="C127" s="24">
        <v>43</v>
      </c>
      <c r="D127" s="164"/>
      <c r="E127" s="163">
        <v>234</v>
      </c>
      <c r="F127" s="164"/>
      <c r="G127" s="163">
        <v>207</v>
      </c>
      <c r="H127" s="164"/>
      <c r="I127" s="165">
        <v>52</v>
      </c>
      <c r="J127" s="164"/>
      <c r="K127" s="165">
        <v>15</v>
      </c>
      <c r="L127" s="164"/>
    </row>
    <row r="128" spans="1:12" ht="12.75">
      <c r="A128" s="152">
        <v>116</v>
      </c>
      <c r="B128" s="148" t="s">
        <v>153</v>
      </c>
      <c r="C128" s="24">
        <v>8</v>
      </c>
      <c r="D128" s="164"/>
      <c r="E128" s="163">
        <v>40</v>
      </c>
      <c r="F128" s="164"/>
      <c r="G128" s="163">
        <v>90</v>
      </c>
      <c r="H128" s="164"/>
      <c r="I128" s="165">
        <v>0</v>
      </c>
      <c r="J128" s="164"/>
      <c r="K128" s="165">
        <v>0</v>
      </c>
      <c r="L128" s="164"/>
    </row>
    <row r="129" spans="1:12" ht="12.75">
      <c r="A129" s="152">
        <v>117</v>
      </c>
      <c r="B129" s="148" t="s">
        <v>49</v>
      </c>
      <c r="C129" s="24">
        <v>0</v>
      </c>
      <c r="D129" s="164"/>
      <c r="E129" s="163">
        <v>0</v>
      </c>
      <c r="F129" s="164"/>
      <c r="G129" s="163">
        <v>0</v>
      </c>
      <c r="H129" s="164"/>
      <c r="I129" s="165">
        <v>0</v>
      </c>
      <c r="J129" s="164"/>
      <c r="K129" s="165">
        <v>0</v>
      </c>
      <c r="L129" s="164"/>
    </row>
    <row r="130" spans="1:12" ht="12.75">
      <c r="A130" s="152">
        <v>118</v>
      </c>
      <c r="B130" s="148" t="s">
        <v>50</v>
      </c>
      <c r="C130" s="24">
        <v>3</v>
      </c>
      <c r="D130" s="164"/>
      <c r="E130" s="163">
        <v>22</v>
      </c>
      <c r="F130" s="164"/>
      <c r="G130" s="163">
        <v>35</v>
      </c>
      <c r="H130" s="164"/>
      <c r="I130" s="165">
        <v>0</v>
      </c>
      <c r="J130" s="164"/>
      <c r="K130" s="165">
        <v>0</v>
      </c>
      <c r="L130" s="164"/>
    </row>
    <row r="131" spans="1:12" ht="12.75">
      <c r="A131" s="152">
        <v>119</v>
      </c>
      <c r="B131" s="148" t="s">
        <v>51</v>
      </c>
      <c r="C131" s="24">
        <v>3</v>
      </c>
      <c r="D131" s="164"/>
      <c r="E131" s="163">
        <v>20</v>
      </c>
      <c r="F131" s="164"/>
      <c r="G131" s="163">
        <v>77</v>
      </c>
      <c r="H131" s="164"/>
      <c r="I131" s="165">
        <v>0</v>
      </c>
      <c r="J131" s="164"/>
      <c r="K131" s="165">
        <v>0</v>
      </c>
      <c r="L131" s="164"/>
    </row>
    <row r="132" spans="1:12" ht="12.75">
      <c r="A132" s="152">
        <v>120</v>
      </c>
      <c r="B132" s="151" t="s">
        <v>57</v>
      </c>
      <c r="C132" s="24">
        <v>8</v>
      </c>
      <c r="D132" s="164"/>
      <c r="E132" s="163">
        <v>20</v>
      </c>
      <c r="F132" s="164"/>
      <c r="G132" s="163">
        <v>30</v>
      </c>
      <c r="H132" s="164"/>
      <c r="I132" s="165">
        <v>21</v>
      </c>
      <c r="J132" s="164"/>
      <c r="K132" s="165">
        <v>4</v>
      </c>
      <c r="L132" s="164"/>
    </row>
    <row r="133" spans="1:12" ht="12.75">
      <c r="A133" s="152">
        <v>121</v>
      </c>
      <c r="B133" s="161" t="s">
        <v>144</v>
      </c>
      <c r="C133" s="132">
        <v>0</v>
      </c>
      <c r="D133" s="168"/>
      <c r="E133" s="169">
        <v>0</v>
      </c>
      <c r="F133" s="168"/>
      <c r="G133" s="169">
        <v>0</v>
      </c>
      <c r="H133" s="168"/>
      <c r="I133" s="168">
        <v>0</v>
      </c>
      <c r="J133" s="168"/>
      <c r="K133" s="168">
        <v>0</v>
      </c>
      <c r="L133" s="168"/>
    </row>
    <row r="134" spans="1:12" ht="12.75">
      <c r="A134" s="152">
        <v>122</v>
      </c>
      <c r="B134" s="148" t="s">
        <v>58</v>
      </c>
      <c r="C134" s="24">
        <v>0</v>
      </c>
      <c r="D134" s="164"/>
      <c r="E134" s="163">
        <v>0</v>
      </c>
      <c r="F134" s="164"/>
      <c r="G134" s="163">
        <v>0</v>
      </c>
      <c r="H134" s="164"/>
      <c r="I134" s="165">
        <v>0</v>
      </c>
      <c r="J134" s="164"/>
      <c r="K134" s="165">
        <v>0</v>
      </c>
      <c r="L134" s="164"/>
    </row>
    <row r="135" spans="1:12" ht="12.75">
      <c r="A135" s="152">
        <v>123</v>
      </c>
      <c r="B135" s="151" t="s">
        <v>73</v>
      </c>
      <c r="C135" s="24">
        <v>5</v>
      </c>
      <c r="D135" s="164"/>
      <c r="E135" s="163">
        <v>10</v>
      </c>
      <c r="F135" s="164"/>
      <c r="G135" s="163">
        <v>42</v>
      </c>
      <c r="H135" s="164"/>
      <c r="I135" s="165">
        <v>9</v>
      </c>
      <c r="J135" s="164"/>
      <c r="K135" s="165">
        <v>7</v>
      </c>
      <c r="L135" s="164"/>
    </row>
    <row r="136" spans="1:12" ht="12.75">
      <c r="A136" s="152">
        <v>124</v>
      </c>
      <c r="B136" s="149" t="s">
        <v>74</v>
      </c>
      <c r="C136" s="24">
        <v>4</v>
      </c>
      <c r="D136" s="164"/>
      <c r="E136" s="163">
        <v>25</v>
      </c>
      <c r="F136" s="164"/>
      <c r="G136" s="163">
        <v>77</v>
      </c>
      <c r="H136" s="164"/>
      <c r="I136" s="165">
        <v>10</v>
      </c>
      <c r="J136" s="164"/>
      <c r="K136" s="165">
        <v>10</v>
      </c>
      <c r="L136" s="164"/>
    </row>
    <row r="137" spans="1:12" ht="12.75">
      <c r="A137" s="152">
        <v>125</v>
      </c>
      <c r="B137" s="151"/>
      <c r="C137" s="24"/>
      <c r="D137" s="164"/>
      <c r="E137" s="163"/>
      <c r="F137" s="164"/>
      <c r="G137" s="163"/>
      <c r="H137" s="164"/>
      <c r="I137" s="165"/>
      <c r="J137" s="164"/>
      <c r="K137" s="165"/>
      <c r="L137" s="164"/>
    </row>
    <row r="138" spans="1:12" ht="12.75">
      <c r="A138" s="152">
        <v>126</v>
      </c>
      <c r="B138" s="151"/>
      <c r="C138" s="24"/>
      <c r="D138" s="164"/>
      <c r="E138" s="163"/>
      <c r="F138" s="164"/>
      <c r="G138" s="163"/>
      <c r="H138" s="164"/>
      <c r="I138" s="165"/>
      <c r="J138" s="164"/>
      <c r="K138" s="165"/>
      <c r="L138" s="164"/>
    </row>
    <row r="139" spans="1:12" ht="12.75">
      <c r="A139" s="152">
        <v>127</v>
      </c>
      <c r="B139" s="151"/>
      <c r="C139" s="24"/>
      <c r="D139" s="164"/>
      <c r="E139" s="163"/>
      <c r="F139" s="164"/>
      <c r="G139" s="163"/>
      <c r="H139" s="164"/>
      <c r="I139" s="165"/>
      <c r="J139" s="164"/>
      <c r="K139" s="165"/>
      <c r="L139" s="164"/>
    </row>
    <row r="140" spans="1:12" ht="15.75">
      <c r="A140" s="149" t="s">
        <v>175</v>
      </c>
      <c r="B140" s="157" t="s">
        <v>176</v>
      </c>
      <c r="C140" s="155">
        <v>8</v>
      </c>
      <c r="D140" s="171"/>
      <c r="E140" s="155">
        <v>79</v>
      </c>
      <c r="F140" s="171"/>
      <c r="G140" s="155">
        <v>294</v>
      </c>
      <c r="H140" s="171"/>
      <c r="I140" s="171">
        <v>12</v>
      </c>
      <c r="J140" s="171"/>
      <c r="K140" s="171">
        <v>7</v>
      </c>
      <c r="L140" s="171"/>
    </row>
    <row r="141" spans="1:12" ht="12.75">
      <c r="A141" s="152">
        <v>128</v>
      </c>
      <c r="B141" s="148" t="s">
        <v>22</v>
      </c>
      <c r="C141" s="24">
        <v>8</v>
      </c>
      <c r="D141" s="164"/>
      <c r="E141" s="163">
        <v>64</v>
      </c>
      <c r="F141" s="164"/>
      <c r="G141" s="163">
        <v>247</v>
      </c>
      <c r="H141" s="164"/>
      <c r="I141" s="165">
        <v>0</v>
      </c>
      <c r="J141" s="164"/>
      <c r="K141" s="165">
        <v>4</v>
      </c>
      <c r="L141" s="164"/>
    </row>
    <row r="142" spans="1:12" ht="12.75">
      <c r="A142" s="152">
        <v>129</v>
      </c>
      <c r="B142" s="148" t="s">
        <v>29</v>
      </c>
      <c r="C142" s="24">
        <v>0</v>
      </c>
      <c r="D142" s="164"/>
      <c r="E142" s="163">
        <v>15</v>
      </c>
      <c r="F142" s="164"/>
      <c r="G142" s="163">
        <v>47</v>
      </c>
      <c r="H142" s="164"/>
      <c r="I142" s="165">
        <v>12</v>
      </c>
      <c r="J142" s="164"/>
      <c r="K142" s="165">
        <v>3</v>
      </c>
      <c r="L142" s="164"/>
    </row>
    <row r="143" spans="1:12" ht="15.75">
      <c r="A143" s="149" t="s">
        <v>177</v>
      </c>
      <c r="B143" s="157" t="s">
        <v>178</v>
      </c>
      <c r="C143" s="155">
        <v>12</v>
      </c>
      <c r="D143" s="171"/>
      <c r="E143" s="155">
        <v>106</v>
      </c>
      <c r="F143" s="171"/>
      <c r="G143" s="155">
        <v>123</v>
      </c>
      <c r="H143" s="171"/>
      <c r="I143" s="171">
        <v>4</v>
      </c>
      <c r="J143" s="171"/>
      <c r="K143" s="171">
        <v>7</v>
      </c>
      <c r="L143" s="171"/>
    </row>
    <row r="144" spans="1:12" ht="12.75">
      <c r="A144" s="152">
        <v>130</v>
      </c>
      <c r="B144" s="148" t="s">
        <v>23</v>
      </c>
      <c r="C144" s="24">
        <v>11</v>
      </c>
      <c r="D144" s="164"/>
      <c r="E144" s="163">
        <v>91</v>
      </c>
      <c r="F144" s="164"/>
      <c r="G144" s="163">
        <v>73</v>
      </c>
      <c r="H144" s="164"/>
      <c r="I144" s="165">
        <v>0</v>
      </c>
      <c r="J144" s="164"/>
      <c r="K144" s="165">
        <v>5</v>
      </c>
      <c r="L144" s="164"/>
    </row>
    <row r="145" spans="1:12" ht="12.75">
      <c r="A145" s="152">
        <v>131</v>
      </c>
      <c r="B145" s="148" t="s">
        <v>39</v>
      </c>
      <c r="C145" s="24">
        <v>1</v>
      </c>
      <c r="D145" s="164"/>
      <c r="E145" s="163">
        <v>15</v>
      </c>
      <c r="F145" s="164"/>
      <c r="G145" s="163">
        <v>50</v>
      </c>
      <c r="H145" s="164"/>
      <c r="I145" s="165">
        <v>4</v>
      </c>
      <c r="J145" s="164"/>
      <c r="K145" s="165">
        <v>2</v>
      </c>
      <c r="L145" s="164"/>
    </row>
    <row r="146" spans="1:12" ht="12.75">
      <c r="A146" s="152">
        <v>132</v>
      </c>
      <c r="B146" s="151" t="s">
        <v>106</v>
      </c>
      <c r="C146" s="24">
        <v>0</v>
      </c>
      <c r="D146" s="16"/>
      <c r="E146" s="16">
        <v>0</v>
      </c>
      <c r="F146" s="16"/>
      <c r="G146" s="16">
        <v>0</v>
      </c>
      <c r="H146" s="16"/>
      <c r="I146" s="16">
        <v>0</v>
      </c>
      <c r="J146" s="16"/>
      <c r="K146" s="16">
        <v>0</v>
      </c>
      <c r="L146" s="16"/>
    </row>
    <row r="147" spans="1:12" ht="24.75" customHeight="1">
      <c r="A147" s="148"/>
      <c r="B147" s="154" t="s">
        <v>24</v>
      </c>
      <c r="C147" s="162">
        <v>667</v>
      </c>
      <c r="D147" s="162"/>
      <c r="E147" s="162">
        <v>2156</v>
      </c>
      <c r="F147" s="162"/>
      <c r="G147" s="162">
        <v>6605</v>
      </c>
      <c r="H147" s="162"/>
      <c r="I147" s="166">
        <v>876</v>
      </c>
      <c r="J147" s="162"/>
      <c r="K147" s="166">
        <v>185</v>
      </c>
      <c r="L147" s="163"/>
    </row>
    <row r="148" spans="9:11" ht="12.75">
      <c r="I148" s="27"/>
      <c r="K148" s="27"/>
    </row>
    <row r="149" spans="2:11" ht="15.75">
      <c r="B149" s="140" t="s">
        <v>154</v>
      </c>
      <c r="I149" s="27"/>
      <c r="K149" s="27"/>
    </row>
    <row r="150" spans="2:11" ht="15.75">
      <c r="B150" s="140" t="s">
        <v>155</v>
      </c>
      <c r="I150" s="27"/>
      <c r="K150" s="27"/>
    </row>
    <row r="151" spans="2:11" ht="15.75">
      <c r="B151" s="141" t="s">
        <v>156</v>
      </c>
      <c r="I151" s="27"/>
      <c r="K151" s="27"/>
    </row>
    <row r="152" spans="2:11" ht="15.75">
      <c r="B152" s="141" t="s">
        <v>157</v>
      </c>
      <c r="I152" s="27"/>
      <c r="K152" s="27"/>
    </row>
    <row r="153" spans="2:11" ht="15.75">
      <c r="B153" s="142" t="s">
        <v>180</v>
      </c>
      <c r="I153" s="27"/>
      <c r="K153" s="27"/>
    </row>
    <row r="154" spans="2:11" ht="15.75">
      <c r="B154" s="142" t="s">
        <v>158</v>
      </c>
      <c r="I154" s="27"/>
      <c r="K154" s="27"/>
    </row>
    <row r="155" spans="2:11" ht="15.75">
      <c r="B155" s="142" t="s">
        <v>159</v>
      </c>
      <c r="I155" s="27"/>
      <c r="K155" s="27"/>
    </row>
    <row r="156" spans="2:11" ht="15.75">
      <c r="B156" s="141" t="s">
        <v>160</v>
      </c>
      <c r="I156" s="27"/>
      <c r="K156" s="27"/>
    </row>
    <row r="157" spans="2:11" ht="15.75">
      <c r="B157" s="142" t="s">
        <v>161</v>
      </c>
      <c r="I157" s="27"/>
      <c r="K157" s="27"/>
    </row>
    <row r="158" spans="2:11" ht="15.75">
      <c r="B158" s="141" t="s">
        <v>157</v>
      </c>
      <c r="I158" s="27"/>
      <c r="K158" s="27"/>
    </row>
    <row r="159" spans="2:11" ht="23.25" customHeight="1">
      <c r="B159" s="144" t="s">
        <v>163</v>
      </c>
      <c r="I159" s="27"/>
      <c r="K159" s="27"/>
    </row>
    <row r="160" spans="2:11" ht="17.25" customHeight="1">
      <c r="B160" s="144" t="s">
        <v>164</v>
      </c>
      <c r="I160" s="27"/>
      <c r="K160" s="27"/>
    </row>
    <row r="161" spans="2:11" ht="15.75">
      <c r="B161" s="3"/>
      <c r="I161" s="27"/>
      <c r="K161" s="27"/>
    </row>
    <row r="162" spans="2:11" ht="18.75">
      <c r="B162" s="143" t="s">
        <v>162</v>
      </c>
      <c r="I162" s="27"/>
      <c r="K162" s="27"/>
    </row>
  </sheetData>
  <sheetProtection password="CC47" sheet="1" objects="1" scenarios="1"/>
  <mergeCells count="9">
    <mergeCell ref="A4:A5"/>
    <mergeCell ref="B2:L2"/>
    <mergeCell ref="B3:L3"/>
    <mergeCell ref="B4:B5"/>
    <mergeCell ref="C4:D4"/>
    <mergeCell ref="E4:F4"/>
    <mergeCell ref="G4:H4"/>
    <mergeCell ref="I4:J4"/>
    <mergeCell ref="K4:L4"/>
  </mergeCells>
  <printOptions/>
  <pageMargins left="0.75" right="0.75" top="1" bottom="1" header="0.5" footer="0.5"/>
  <pageSetup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A1:AK148"/>
  <sheetViews>
    <sheetView zoomScale="75" zoomScaleNormal="75" zoomScaleSheetLayoutView="75" workbookViewId="0" topLeftCell="H1">
      <selection activeCell="AD151" sqref="AD151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3" width="40.28125" style="0" customWidth="1"/>
    <col min="4" max="4" width="8.140625" style="0" customWidth="1"/>
    <col min="5" max="5" width="12.7109375" style="0" customWidth="1"/>
    <col min="6" max="6" width="11.28125" style="0" customWidth="1"/>
    <col min="7" max="7" width="10.8515625" style="27" customWidth="1"/>
    <col min="8" max="8" width="11.00390625" style="27" customWidth="1"/>
    <col min="9" max="9" width="9.140625" style="27" customWidth="1"/>
    <col min="10" max="10" width="9.00390625" style="27" customWidth="1"/>
    <col min="11" max="11" width="8.8515625" style="27" customWidth="1"/>
    <col min="12" max="12" width="8.421875" style="27" customWidth="1"/>
    <col min="13" max="13" width="7.7109375" style="27" customWidth="1"/>
    <col min="14" max="14" width="7.140625" style="27" customWidth="1"/>
    <col min="15" max="15" width="7.7109375" style="27" customWidth="1"/>
    <col min="16" max="16" width="6.28125" style="27" customWidth="1"/>
    <col min="17" max="17" width="7.57421875" style="27" customWidth="1"/>
    <col min="18" max="18" width="8.421875" style="27" customWidth="1"/>
    <col min="19" max="19" width="7.8515625" style="27" customWidth="1"/>
    <col min="20" max="20" width="8.140625" style="0" customWidth="1"/>
    <col min="21" max="21" width="7.00390625" style="0" customWidth="1"/>
    <col min="22" max="23" width="7.140625" style="0" customWidth="1"/>
    <col min="24" max="24" width="6.421875" style="0" customWidth="1"/>
    <col min="25" max="25" width="7.8515625" style="0" customWidth="1"/>
    <col min="26" max="26" width="5.140625" style="0" customWidth="1"/>
    <col min="27" max="27" width="5.57421875" style="0" customWidth="1"/>
    <col min="28" max="28" width="8.00390625" style="0" customWidth="1"/>
    <col min="29" max="29" width="5.57421875" style="0" customWidth="1"/>
    <col min="30" max="30" width="9.421875" style="0" customWidth="1"/>
    <col min="31" max="31" width="5.00390625" style="0" customWidth="1"/>
    <col min="32" max="32" width="5.421875" style="0" customWidth="1"/>
    <col min="33" max="33" width="5.57421875" style="0" customWidth="1"/>
    <col min="34" max="34" width="5.8515625" style="0" customWidth="1"/>
    <col min="35" max="35" width="5.140625" style="0" customWidth="1"/>
    <col min="36" max="36" width="4.7109375" style="0" customWidth="1"/>
  </cols>
  <sheetData>
    <row r="1" spans="2:34" ht="69" customHeight="1">
      <c r="B1" s="1"/>
      <c r="C1" s="219" t="s">
        <v>179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AE1" s="2"/>
      <c r="AF1" s="1" t="s">
        <v>0</v>
      </c>
      <c r="AG1" s="1"/>
      <c r="AH1" s="2"/>
    </row>
    <row r="2" spans="1:35" ht="15.75">
      <c r="A2" s="2"/>
      <c r="B2" s="3"/>
      <c r="C2" s="3"/>
      <c r="D2" s="3"/>
      <c r="E2" s="3"/>
      <c r="F2" s="3"/>
      <c r="G2" s="59"/>
      <c r="H2" s="59"/>
      <c r="I2" s="59"/>
      <c r="J2" s="59"/>
      <c r="K2" s="59"/>
      <c r="L2" s="59"/>
      <c r="M2" s="59"/>
      <c r="N2" s="59"/>
      <c r="O2" s="58"/>
      <c r="P2" s="58"/>
      <c r="Q2" s="58"/>
      <c r="R2" s="58"/>
      <c r="S2" s="5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35.25" customHeight="1">
      <c r="A3" s="2"/>
      <c r="B3" s="2" t="s">
        <v>1</v>
      </c>
      <c r="C3" s="3" t="s">
        <v>36</v>
      </c>
      <c r="D3" s="3"/>
      <c r="E3" s="3"/>
      <c r="F3" s="3"/>
      <c r="G3" s="60"/>
      <c r="H3" s="60"/>
      <c r="I3" s="60"/>
      <c r="J3" s="60"/>
      <c r="K3" s="60"/>
      <c r="L3" s="223" t="s">
        <v>42</v>
      </c>
      <c r="M3" s="224"/>
      <c r="N3" s="61"/>
      <c r="O3" s="62">
        <v>33</v>
      </c>
      <c r="P3" s="63" t="s">
        <v>41</v>
      </c>
      <c r="R3" s="58" t="s">
        <v>3</v>
      </c>
      <c r="S3" s="58"/>
      <c r="T3" s="2"/>
      <c r="U3" s="2"/>
      <c r="V3" s="57">
        <f>'[1]Норматив и фактически 2017'!$J$156</f>
        <v>494</v>
      </c>
      <c r="W3" s="2" t="s">
        <v>2</v>
      </c>
      <c r="X3" s="2"/>
      <c r="Y3" s="4"/>
      <c r="Z3" s="2" t="s">
        <v>2</v>
      </c>
      <c r="AA3" s="2" t="s">
        <v>3</v>
      </c>
      <c r="AB3" s="2"/>
      <c r="AC3" s="2"/>
      <c r="AD3" s="2"/>
      <c r="AE3" s="4">
        <f>C13</f>
        <v>0</v>
      </c>
      <c r="AF3" s="2" t="s">
        <v>2</v>
      </c>
      <c r="AG3" s="2"/>
      <c r="AH3" s="2"/>
      <c r="AI3" s="2"/>
    </row>
    <row r="4" spans="1:35" ht="12.75">
      <c r="A4" s="2"/>
      <c r="B4" s="2"/>
      <c r="C4" s="2"/>
      <c r="D4" s="2"/>
      <c r="E4" s="2"/>
      <c r="F4" s="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 t="s">
        <v>4</v>
      </c>
      <c r="S4" s="58"/>
      <c r="T4" s="2"/>
      <c r="U4" s="2"/>
      <c r="V4" s="122">
        <f>'[1]Норматив и фактически 2017'!$K$156</f>
        <v>215</v>
      </c>
      <c r="W4" s="2" t="s">
        <v>2</v>
      </c>
      <c r="X4" s="2"/>
      <c r="Y4" s="5"/>
      <c r="Z4" s="2"/>
      <c r="AA4" s="2" t="s">
        <v>4</v>
      </c>
      <c r="AB4" s="2"/>
      <c r="AC4" s="2"/>
      <c r="AD4" s="2"/>
      <c r="AE4" s="4">
        <f>'[2]Норматив и фактически'!$K$130</f>
        <v>144</v>
      </c>
      <c r="AF4" s="2" t="s">
        <v>2</v>
      </c>
      <c r="AG4" s="2"/>
      <c r="AH4" s="2"/>
      <c r="AI4" s="2"/>
    </row>
    <row r="5" spans="1:35" ht="12.75">
      <c r="A5" s="2"/>
      <c r="B5" s="2" t="s">
        <v>5</v>
      </c>
      <c r="C5" s="2"/>
      <c r="D5" s="2"/>
      <c r="E5" s="2"/>
      <c r="F5" s="2"/>
      <c r="G5" s="58"/>
      <c r="H5" s="58"/>
      <c r="I5" s="58"/>
      <c r="J5" s="58"/>
      <c r="K5" s="64"/>
      <c r="L5" s="64"/>
      <c r="M5" s="65">
        <v>0.54</v>
      </c>
      <c r="N5" s="66"/>
      <c r="O5" s="220" t="s">
        <v>145</v>
      </c>
      <c r="P5" s="220"/>
      <c r="Q5" s="67"/>
      <c r="R5" s="58" t="s">
        <v>6</v>
      </c>
      <c r="S5" s="58"/>
      <c r="T5" s="2"/>
      <c r="U5" s="2"/>
      <c r="V5" s="121">
        <f>'[1]Норматив и фактически 2017'!$G$156</f>
        <v>751</v>
      </c>
      <c r="W5" s="2" t="s">
        <v>2</v>
      </c>
      <c r="X5" s="2"/>
      <c r="Y5" s="2"/>
      <c r="Z5" s="2"/>
      <c r="AA5" s="2" t="s">
        <v>6</v>
      </c>
      <c r="AB5" s="2"/>
      <c r="AC5" s="2"/>
      <c r="AD5" s="2"/>
      <c r="AE5" s="6">
        <v>450</v>
      </c>
      <c r="AF5" s="2" t="s">
        <v>2</v>
      </c>
      <c r="AG5" s="2"/>
      <c r="AH5" s="2"/>
      <c r="AI5" s="2"/>
    </row>
    <row r="6" spans="1:24" ht="94.5" customHeight="1">
      <c r="A6" s="55" t="s">
        <v>7</v>
      </c>
      <c r="B6" s="175" t="s">
        <v>9</v>
      </c>
      <c r="C6" s="176"/>
      <c r="D6" s="56" t="s">
        <v>37</v>
      </c>
      <c r="E6" s="56" t="s">
        <v>105</v>
      </c>
      <c r="F6" s="56" t="s">
        <v>93</v>
      </c>
      <c r="G6" s="68" t="s">
        <v>119</v>
      </c>
      <c r="H6" s="68" t="s">
        <v>120</v>
      </c>
      <c r="I6" s="68" t="s">
        <v>115</v>
      </c>
      <c r="J6" s="68" t="s">
        <v>108</v>
      </c>
      <c r="K6" s="68" t="s">
        <v>107</v>
      </c>
      <c r="L6" s="68" t="s">
        <v>109</v>
      </c>
      <c r="M6" s="68" t="s">
        <v>110</v>
      </c>
      <c r="N6" s="68" t="s">
        <v>111</v>
      </c>
      <c r="O6" s="68" t="s">
        <v>112</v>
      </c>
      <c r="P6" s="68" t="s">
        <v>114</v>
      </c>
      <c r="Q6" s="68" t="s">
        <v>113</v>
      </c>
      <c r="R6" s="68" t="s">
        <v>116</v>
      </c>
      <c r="S6" s="68" t="s">
        <v>117</v>
      </c>
      <c r="T6" s="56" t="s">
        <v>118</v>
      </c>
      <c r="U6" s="56" t="s">
        <v>97</v>
      </c>
      <c r="V6" s="56" t="s">
        <v>98</v>
      </c>
      <c r="W6" s="56" t="s">
        <v>99</v>
      </c>
      <c r="X6" s="87" t="s">
        <v>122</v>
      </c>
    </row>
    <row r="7" spans="1:24" ht="23.25" customHeight="1">
      <c r="A7" s="6"/>
      <c r="B7" s="221" t="s">
        <v>87</v>
      </c>
      <c r="C7" s="222"/>
      <c r="D7" s="78">
        <f aca="true" t="shared" si="0" ref="D7:M7">SUM(D8:D9)</f>
        <v>5</v>
      </c>
      <c r="E7" s="88">
        <f t="shared" si="0"/>
        <v>85.688</v>
      </c>
      <c r="F7" s="88">
        <f t="shared" si="0"/>
        <v>81.98982390589865</v>
      </c>
      <c r="G7" s="88">
        <f t="shared" si="0"/>
        <v>34.34553723418094</v>
      </c>
      <c r="H7" s="88">
        <f t="shared" si="0"/>
        <v>47.644286671717694</v>
      </c>
      <c r="I7" s="76">
        <f t="shared" si="0"/>
        <v>51.9</v>
      </c>
      <c r="J7" s="76">
        <f t="shared" si="0"/>
        <v>30.8</v>
      </c>
      <c r="K7" s="76">
        <f t="shared" si="0"/>
        <v>21.1</v>
      </c>
      <c r="L7" s="76">
        <f t="shared" si="0"/>
        <v>0</v>
      </c>
      <c r="M7" s="76">
        <f t="shared" si="0"/>
        <v>0</v>
      </c>
      <c r="N7" s="74">
        <f>ROUND(L7/J7*10,2)</f>
        <v>0</v>
      </c>
      <c r="O7" s="74">
        <f>ROUND(M7/K7*10,2)</f>
        <v>0</v>
      </c>
      <c r="P7" s="76">
        <f aca="true" t="shared" si="1" ref="P7:P47">ROUND(N7*$M$5,1)</f>
        <v>0</v>
      </c>
      <c r="Q7" s="74">
        <f>ROUND(O7*$M$5,2)</f>
        <v>0</v>
      </c>
      <c r="R7" s="78">
        <f aca="true" t="shared" si="2" ref="R7:W7">SUM(R8:R9)</f>
        <v>0</v>
      </c>
      <c r="S7" s="78">
        <f t="shared" si="2"/>
        <v>0</v>
      </c>
      <c r="T7" s="78">
        <f t="shared" si="2"/>
        <v>0</v>
      </c>
      <c r="U7" s="78">
        <f t="shared" si="2"/>
        <v>0</v>
      </c>
      <c r="V7" s="78">
        <f t="shared" si="2"/>
        <v>0</v>
      </c>
      <c r="W7" s="78">
        <f t="shared" si="2"/>
        <v>0</v>
      </c>
      <c r="X7" s="48">
        <f>T7/F7</f>
        <v>0</v>
      </c>
    </row>
    <row r="8" spans="1:30" ht="20.25" customHeight="1">
      <c r="A8" s="28">
        <v>1</v>
      </c>
      <c r="B8" s="45" t="s">
        <v>82</v>
      </c>
      <c r="C8" s="44"/>
      <c r="D8" s="78">
        <f>'[1]А-4'!$F$10</f>
        <v>2</v>
      </c>
      <c r="E8" s="95">
        <f>'[1]Норматив и фактически 2017'!$F$12</f>
        <v>47.5</v>
      </c>
      <c r="F8" s="96">
        <f>E8*$Y$10</f>
        <v>45.44996540390936</v>
      </c>
      <c r="G8" s="70">
        <f>F8*0.4189</f>
        <v>19.03899050769763</v>
      </c>
      <c r="H8" s="70">
        <f>F8*0.5811</f>
        <v>26.410974896211727</v>
      </c>
      <c r="I8" s="69">
        <f>J8+K8</f>
        <v>20</v>
      </c>
      <c r="J8" s="19">
        <f>'[1]А-4'!$G$10</f>
        <v>11.5</v>
      </c>
      <c r="K8" s="19">
        <f>'[1]А-4'!$H$10</f>
        <v>8.5</v>
      </c>
      <c r="L8" s="22">
        <f>'[1]А-4'!$Q$10</f>
        <v>0</v>
      </c>
      <c r="M8" s="22">
        <f>'[1]А-4'!$AC$10</f>
        <v>0</v>
      </c>
      <c r="N8" s="22">
        <f>L8*10/J8</f>
        <v>0</v>
      </c>
      <c r="O8" s="98">
        <f>ROUND(M8/K8*10,2)</f>
        <v>0</v>
      </c>
      <c r="P8" s="104">
        <f t="shared" si="1"/>
        <v>0</v>
      </c>
      <c r="Q8" s="98">
        <f>ROUND(O8*$M$5,2)</f>
        <v>0</v>
      </c>
      <c r="R8" s="22">
        <f>ROUNDDOWN((P8*G8),0)</f>
        <v>0</v>
      </c>
      <c r="S8" s="22">
        <f>ROUNDDOWN((Q8*H8),0)</f>
        <v>0</v>
      </c>
      <c r="T8" s="16">
        <f>R8+S8</f>
        <v>0</v>
      </c>
      <c r="U8" s="24">
        <f>ROUNDDOWN(IF(T8&lt;$O$3,"0",T8*5/100),0)</f>
        <v>0</v>
      </c>
      <c r="V8" s="9">
        <v>0</v>
      </c>
      <c r="W8" s="24">
        <f>IF(V8&lt;=U8,V8,U8)</f>
        <v>0</v>
      </c>
      <c r="X8" s="48">
        <f>T8/F8</f>
        <v>0</v>
      </c>
      <c r="AD8">
        <f>Q10*S10</f>
        <v>716.4899999999999</v>
      </c>
    </row>
    <row r="9" spans="1:24" ht="20.25" customHeight="1">
      <c r="A9" s="28">
        <v>2</v>
      </c>
      <c r="B9" s="101" t="s">
        <v>132</v>
      </c>
      <c r="C9" s="102"/>
      <c r="D9" s="78">
        <f>'[1]А-4'!$F$11</f>
        <v>3</v>
      </c>
      <c r="E9" s="95">
        <f>'[1]Норматив и фактически 2017'!$F$13</f>
        <v>38.188</v>
      </c>
      <c r="F9" s="96">
        <f>E9*$Y$10</f>
        <v>36.53985850198928</v>
      </c>
      <c r="G9" s="70">
        <f>F9*0.4189</f>
        <v>15.306546726483308</v>
      </c>
      <c r="H9" s="70">
        <f>F9*0.5811</f>
        <v>21.233311775505967</v>
      </c>
      <c r="I9" s="69">
        <f>J9+K9</f>
        <v>31.9</v>
      </c>
      <c r="J9" s="19">
        <f>'[1]А-4'!$G$11</f>
        <v>19.3</v>
      </c>
      <c r="K9" s="26">
        <f>'[1]А-4'!$H$11</f>
        <v>12.6</v>
      </c>
      <c r="L9" s="22">
        <f>'[1]А-4'!$Q$11</f>
        <v>0</v>
      </c>
      <c r="M9" s="22">
        <f>'[1]А-4'!$AC$11</f>
        <v>0</v>
      </c>
      <c r="N9" s="22">
        <f>L9*10/J9</f>
        <v>0</v>
      </c>
      <c r="O9" s="98">
        <f>ROUND(M9/K9*10,2)</f>
        <v>0</v>
      </c>
      <c r="P9" s="104">
        <f t="shared" si="1"/>
        <v>0</v>
      </c>
      <c r="Q9" s="98">
        <f>ROUND(O9*$M$5,2)</f>
        <v>0</v>
      </c>
      <c r="R9" s="22">
        <f>ROUNDDOWN((P9*G9),0)</f>
        <v>0</v>
      </c>
      <c r="S9" s="22">
        <f>ROUNDDOWN((Q9*H9),0)</f>
        <v>0</v>
      </c>
      <c r="T9" s="16">
        <f>R9+S9</f>
        <v>0</v>
      </c>
      <c r="U9" s="24">
        <f>ROUNDDOWN(IF(T9&lt;$O$3,"0",T9*5/100),0)</f>
        <v>0</v>
      </c>
      <c r="V9" s="9"/>
      <c r="W9" s="24">
        <f>IF(V9&lt;=U9,V9,U9)</f>
        <v>0</v>
      </c>
      <c r="X9" s="48">
        <f>T9/F9</f>
        <v>0</v>
      </c>
    </row>
    <row r="10" spans="1:30" ht="29.25" customHeight="1">
      <c r="A10" s="28"/>
      <c r="B10" s="213" t="s">
        <v>86</v>
      </c>
      <c r="C10" s="214"/>
      <c r="D10" s="78">
        <f>SUM(D11:D53)</f>
        <v>75</v>
      </c>
      <c r="E10" s="93">
        <f aca="true" t="shared" si="3" ref="E10:M10">SUM(E11:E47)</f>
        <v>6807.977000000001</v>
      </c>
      <c r="F10" s="88">
        <f t="shared" si="3"/>
        <v>6514.154086749697</v>
      </c>
      <c r="G10" s="88">
        <f t="shared" si="3"/>
        <v>2728.779146939448</v>
      </c>
      <c r="H10" s="88">
        <f t="shared" si="3"/>
        <v>3785.374939810249</v>
      </c>
      <c r="I10" s="74">
        <f t="shared" si="3"/>
        <v>775.4300000000002</v>
      </c>
      <c r="J10" s="74">
        <f t="shared" si="3"/>
        <v>527.4899999999999</v>
      </c>
      <c r="K10" s="74">
        <f t="shared" si="3"/>
        <v>247.94000000000003</v>
      </c>
      <c r="L10" s="74">
        <f t="shared" si="3"/>
        <v>120</v>
      </c>
      <c r="M10" s="74">
        <f t="shared" si="3"/>
        <v>26</v>
      </c>
      <c r="N10" s="74">
        <f>ROUND(L10/J10*10,2)</f>
        <v>2.27</v>
      </c>
      <c r="O10" s="74">
        <f>ROUND(M10/K10*10,2)</f>
        <v>1.05</v>
      </c>
      <c r="P10" s="76">
        <f t="shared" si="1"/>
        <v>1.2</v>
      </c>
      <c r="Q10" s="74">
        <f>ROUND(O10*$M$5,2)</f>
        <v>0.57</v>
      </c>
      <c r="R10" s="78">
        <f aca="true" t="shared" si="4" ref="R10:W10">SUM(R11:R47)</f>
        <v>2422</v>
      </c>
      <c r="S10" s="78">
        <f t="shared" si="4"/>
        <v>1257</v>
      </c>
      <c r="T10" s="78">
        <f t="shared" si="4"/>
        <v>3679</v>
      </c>
      <c r="U10" s="78">
        <f t="shared" si="4"/>
        <v>133</v>
      </c>
      <c r="V10" s="78">
        <f t="shared" si="4"/>
        <v>36</v>
      </c>
      <c r="W10" s="78">
        <f t="shared" si="4"/>
        <v>71</v>
      </c>
      <c r="X10" s="48">
        <f aca="true" t="shared" si="5" ref="X10:X47">T10/F10</f>
        <v>0.5647701836656545</v>
      </c>
      <c r="Y10" s="48">
        <f>AB10/AB11</f>
        <v>0.9568413769244075</v>
      </c>
      <c r="AB10">
        <v>5531.5</v>
      </c>
      <c r="AD10">
        <v>2473</v>
      </c>
    </row>
    <row r="11" spans="1:28" ht="17.25" customHeight="1">
      <c r="A11" s="28">
        <v>3</v>
      </c>
      <c r="B11" s="208" t="s">
        <v>79</v>
      </c>
      <c r="C11" s="209"/>
      <c r="D11" s="18">
        <f>'[1]А-4'!$F$13</f>
        <v>3</v>
      </c>
      <c r="E11" s="95">
        <f>'[1]Норматив и фактически 2017'!$F$16</f>
        <v>648.017</v>
      </c>
      <c r="F11" s="112">
        <f aca="true" t="shared" si="6" ref="F11:F47">E11*$Y$10</f>
        <v>620.0494785504238</v>
      </c>
      <c r="G11" s="70">
        <f aca="true" t="shared" si="7" ref="G11:G47">F11*0.4189</f>
        <v>259.73872656477255</v>
      </c>
      <c r="H11" s="70">
        <f aca="true" t="shared" si="8" ref="H11:H47">F11*0.5811</f>
        <v>360.3107519856513</v>
      </c>
      <c r="I11" s="26">
        <f aca="true" t="shared" si="9" ref="I11:I47">J11+K11</f>
        <v>30</v>
      </c>
      <c r="J11" s="14">
        <f>'[1]А-4'!$G$13</f>
        <v>21.6</v>
      </c>
      <c r="K11" s="26">
        <f>'[1]А-4'!$H$13</f>
        <v>8.4</v>
      </c>
      <c r="L11" s="26">
        <f>'[1]А-4'!$Q$13</f>
        <v>11</v>
      </c>
      <c r="M11" s="26">
        <f>'[1]А-4'!$AC$13</f>
        <v>0</v>
      </c>
      <c r="N11" s="21">
        <f aca="true" t="shared" si="10" ref="N11:N47">L11*10/J11</f>
        <v>5.092592592592593</v>
      </c>
      <c r="O11" s="21">
        <f aca="true" t="shared" si="11" ref="O11:O46">M11*10/K11</f>
        <v>0</v>
      </c>
      <c r="P11" s="26">
        <f t="shared" si="1"/>
        <v>2.8</v>
      </c>
      <c r="Q11" s="26">
        <f aca="true" t="shared" si="12" ref="Q11:Q47">ROUND(O11*$M$5,1)</f>
        <v>0</v>
      </c>
      <c r="R11" s="22">
        <f aca="true" t="shared" si="13" ref="R11:R47">ROUNDDOWN((P11*G11),0)</f>
        <v>727</v>
      </c>
      <c r="S11" s="22">
        <f aca="true" t="shared" si="14" ref="S11:S47">ROUNDDOWN((Q11*H11),0)</f>
        <v>0</v>
      </c>
      <c r="T11" s="16">
        <f aca="true" t="shared" si="15" ref="T11:T47">R11+S11</f>
        <v>727</v>
      </c>
      <c r="U11" s="24">
        <f>ROUNDDOWN(IF(T11&lt;$O$3,"0",T11*5/100),0)</f>
        <v>36</v>
      </c>
      <c r="V11" s="9">
        <v>3</v>
      </c>
      <c r="W11" s="24">
        <f aca="true" t="shared" si="16" ref="W11:W47">IF(V11&lt;=U11,V11,U11)</f>
        <v>3</v>
      </c>
      <c r="X11" s="48">
        <f t="shared" si="5"/>
        <v>1.1724870758695085</v>
      </c>
      <c r="AB11">
        <v>5781</v>
      </c>
    </row>
    <row r="12" spans="1:24" ht="17.25" customHeight="1">
      <c r="A12" s="28">
        <f aca="true" t="shared" si="17" ref="A12:A53">A11+1</f>
        <v>4</v>
      </c>
      <c r="B12" s="208" t="s">
        <v>80</v>
      </c>
      <c r="C12" s="209"/>
      <c r="D12" s="18">
        <f>'[1]А-4'!$F$14</f>
        <v>1</v>
      </c>
      <c r="E12" s="95">
        <f>'[1]Норматив и фактически 2017'!$F$17</f>
        <v>566</v>
      </c>
      <c r="F12" s="112">
        <f t="shared" si="6"/>
        <v>541.5722193392146</v>
      </c>
      <c r="G12" s="70">
        <f t="shared" si="7"/>
        <v>226.864602681197</v>
      </c>
      <c r="H12" s="70">
        <f t="shared" si="8"/>
        <v>314.70761665801757</v>
      </c>
      <c r="I12" s="26">
        <f t="shared" si="9"/>
        <v>10</v>
      </c>
      <c r="J12" s="19">
        <f>'[1]А-4'!$G$14</f>
        <v>5.9</v>
      </c>
      <c r="K12" s="19">
        <f>'[1]А-4'!$H$14</f>
        <v>4.1</v>
      </c>
      <c r="L12" s="26">
        <f>'[1]А-4'!$Q$14</f>
        <v>2</v>
      </c>
      <c r="M12" s="26">
        <f>'[1]А-4'!$AC$14</f>
        <v>0</v>
      </c>
      <c r="N12" s="21">
        <f t="shared" si="10"/>
        <v>3.389830508474576</v>
      </c>
      <c r="O12" s="21">
        <f t="shared" si="11"/>
        <v>0</v>
      </c>
      <c r="P12" s="26">
        <f t="shared" si="1"/>
        <v>1.8</v>
      </c>
      <c r="Q12" s="26">
        <f t="shared" si="12"/>
        <v>0</v>
      </c>
      <c r="R12" s="22">
        <f t="shared" si="13"/>
        <v>408</v>
      </c>
      <c r="S12" s="22">
        <f t="shared" si="14"/>
        <v>0</v>
      </c>
      <c r="T12" s="16">
        <f t="shared" si="15"/>
        <v>408</v>
      </c>
      <c r="U12" s="24">
        <f aca="true" t="shared" si="18" ref="U12:U47">ROUNDDOWN(IF(T12&lt;$O$3,"0",T12*3/100),0)</f>
        <v>12</v>
      </c>
      <c r="V12" s="9">
        <v>4</v>
      </c>
      <c r="W12" s="24">
        <f t="shared" si="16"/>
        <v>4</v>
      </c>
      <c r="X12" s="48">
        <f t="shared" si="5"/>
        <v>0.7533621286885999</v>
      </c>
    </row>
    <row r="13" spans="1:30" ht="12.75" customHeight="1">
      <c r="A13" s="28">
        <f t="shared" si="17"/>
        <v>5</v>
      </c>
      <c r="B13" s="208" t="s">
        <v>81</v>
      </c>
      <c r="C13" s="209"/>
      <c r="D13" s="18">
        <f>'[1]А-4'!$F$15</f>
        <v>2</v>
      </c>
      <c r="E13" s="95">
        <f>'[1]Норматив и фактически 2017'!$F$18</f>
        <v>144</v>
      </c>
      <c r="F13" s="112">
        <f t="shared" si="6"/>
        <v>137.78515827711468</v>
      </c>
      <c r="G13" s="70">
        <f t="shared" si="7"/>
        <v>57.718202802283336</v>
      </c>
      <c r="H13" s="70">
        <f t="shared" si="8"/>
        <v>80.06695547483133</v>
      </c>
      <c r="I13" s="26">
        <f t="shared" si="9"/>
        <v>20</v>
      </c>
      <c r="J13" s="19">
        <f>'[1]А-4'!$G$15</f>
        <v>17.1</v>
      </c>
      <c r="K13" s="19">
        <f>'[1]А-4'!$H$15</f>
        <v>2.9000000000000004</v>
      </c>
      <c r="L13" s="26">
        <f>'[1]А-4'!$Q$15</f>
        <v>12</v>
      </c>
      <c r="M13" s="26">
        <f>'[1]А-4'!$AC$15</f>
        <v>0</v>
      </c>
      <c r="N13" s="21">
        <f t="shared" si="10"/>
        <v>7.017543859649122</v>
      </c>
      <c r="O13" s="21">
        <f t="shared" si="11"/>
        <v>0</v>
      </c>
      <c r="P13" s="26">
        <f t="shared" si="1"/>
        <v>3.8</v>
      </c>
      <c r="Q13" s="26">
        <f t="shared" si="12"/>
        <v>0</v>
      </c>
      <c r="R13" s="22">
        <f t="shared" si="13"/>
        <v>219</v>
      </c>
      <c r="S13" s="22">
        <f t="shared" si="14"/>
        <v>0</v>
      </c>
      <c r="T13" s="16">
        <f t="shared" si="15"/>
        <v>219</v>
      </c>
      <c r="U13" s="24">
        <f>ROUNDDOWN(IF(T13&lt;$O$3,"0",T13*5/100),0)</f>
        <v>10</v>
      </c>
      <c r="V13" s="9">
        <v>1</v>
      </c>
      <c r="W13" s="24">
        <f t="shared" si="16"/>
        <v>1</v>
      </c>
      <c r="X13" s="48">
        <f t="shared" si="5"/>
        <v>1.5894309861701168</v>
      </c>
      <c r="AD13" s="20">
        <f>T10-AD10</f>
        <v>1206</v>
      </c>
    </row>
    <row r="14" spans="1:34" ht="15.75">
      <c r="A14" s="28">
        <f t="shared" si="17"/>
        <v>6</v>
      </c>
      <c r="B14" s="45" t="s">
        <v>83</v>
      </c>
      <c r="C14" s="44"/>
      <c r="D14" s="25">
        <f>'[1]А-4'!$F$17</f>
        <v>2</v>
      </c>
      <c r="E14" s="95">
        <f>'[1]Норматив и фактически 2017'!$F$19</f>
        <v>40</v>
      </c>
      <c r="F14" s="112">
        <f t="shared" si="6"/>
        <v>38.2736550769763</v>
      </c>
      <c r="G14" s="70">
        <f t="shared" si="7"/>
        <v>16.03283411174537</v>
      </c>
      <c r="H14" s="70">
        <f t="shared" si="8"/>
        <v>22.240820965230924</v>
      </c>
      <c r="I14" s="26">
        <f t="shared" si="9"/>
        <v>17.6</v>
      </c>
      <c r="J14" s="71">
        <f>'[1]А-4'!$G$17</f>
        <v>15</v>
      </c>
      <c r="K14" s="71">
        <f>'[1]А-4'!$H$17</f>
        <v>2.6</v>
      </c>
      <c r="L14" s="26">
        <f>'[1]А-4'!$Q$17</f>
        <v>4</v>
      </c>
      <c r="M14" s="26">
        <f>'[1]А-4'!$AC$17</f>
        <v>2</v>
      </c>
      <c r="N14" s="21">
        <f t="shared" si="10"/>
        <v>2.6666666666666665</v>
      </c>
      <c r="O14" s="21">
        <f t="shared" si="11"/>
        <v>7.692307692307692</v>
      </c>
      <c r="P14" s="26">
        <f t="shared" si="1"/>
        <v>1.4</v>
      </c>
      <c r="Q14" s="26">
        <f t="shared" si="12"/>
        <v>4.2</v>
      </c>
      <c r="R14" s="22">
        <f t="shared" si="13"/>
        <v>22</v>
      </c>
      <c r="S14" s="22">
        <f t="shared" si="14"/>
        <v>93</v>
      </c>
      <c r="T14" s="16">
        <f t="shared" si="15"/>
        <v>115</v>
      </c>
      <c r="U14" s="24">
        <f>ROUNDDOWN(IF(T14&lt;$O$3,"0",T14*7/100),0)</f>
        <v>8</v>
      </c>
      <c r="V14" s="9">
        <v>2</v>
      </c>
      <c r="W14" s="24">
        <f t="shared" si="16"/>
        <v>2</v>
      </c>
      <c r="X14" s="48">
        <f t="shared" si="5"/>
        <v>3.004677754677755</v>
      </c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24" ht="15.75">
      <c r="A15" s="28">
        <f t="shared" si="17"/>
        <v>7</v>
      </c>
      <c r="B15" s="45" t="s">
        <v>84</v>
      </c>
      <c r="C15" s="44"/>
      <c r="D15" s="18">
        <f>'[1]А-4'!$F$18</f>
        <v>3</v>
      </c>
      <c r="E15" s="95">
        <f>'[1]Норматив и фактически 2017'!$F$20</f>
        <v>85</v>
      </c>
      <c r="F15" s="112">
        <f t="shared" si="6"/>
        <v>81.33151703857465</v>
      </c>
      <c r="G15" s="70">
        <f t="shared" si="7"/>
        <v>34.06977248745892</v>
      </c>
      <c r="H15" s="70">
        <f t="shared" si="8"/>
        <v>47.261744551115726</v>
      </c>
      <c r="I15" s="26">
        <f t="shared" si="9"/>
        <v>31.1</v>
      </c>
      <c r="J15" s="71">
        <f>'[1]А-4'!$G$18</f>
        <v>18.1</v>
      </c>
      <c r="K15" s="71">
        <f>'[1]А-4'!$H$18</f>
        <v>13</v>
      </c>
      <c r="L15" s="26">
        <f>'[1]А-4'!$Q$18</f>
        <v>8</v>
      </c>
      <c r="M15" s="26">
        <f>'[1]А-4'!$AC$18</f>
        <v>2</v>
      </c>
      <c r="N15" s="21">
        <f t="shared" si="10"/>
        <v>4.41988950276243</v>
      </c>
      <c r="O15" s="21">
        <f t="shared" si="11"/>
        <v>1.5384615384615385</v>
      </c>
      <c r="P15" s="26">
        <f t="shared" si="1"/>
        <v>2.4</v>
      </c>
      <c r="Q15" s="26">
        <f t="shared" si="12"/>
        <v>0.8</v>
      </c>
      <c r="R15" s="22">
        <f t="shared" si="13"/>
        <v>81</v>
      </c>
      <c r="S15" s="22">
        <f t="shared" si="14"/>
        <v>37</v>
      </c>
      <c r="T15" s="16">
        <f t="shared" si="15"/>
        <v>118</v>
      </c>
      <c r="U15" s="24">
        <f t="shared" si="18"/>
        <v>3</v>
      </c>
      <c r="V15" s="9">
        <v>2</v>
      </c>
      <c r="W15" s="24">
        <f t="shared" si="16"/>
        <v>2</v>
      </c>
      <c r="X15" s="48">
        <f t="shared" si="5"/>
        <v>1.4508520718239388</v>
      </c>
    </row>
    <row r="16" spans="1:24" ht="12.75">
      <c r="A16" s="28">
        <f t="shared" si="17"/>
        <v>8</v>
      </c>
      <c r="B16" s="45" t="s">
        <v>85</v>
      </c>
      <c r="C16" s="45"/>
      <c r="D16" s="18">
        <f>'[1]А-4'!$F$19</f>
        <v>2</v>
      </c>
      <c r="E16" s="95">
        <f>'[1]Норматив и фактически 2017'!$F$21</f>
        <v>75.4</v>
      </c>
      <c r="F16" s="112">
        <f t="shared" si="6"/>
        <v>72.14583982010033</v>
      </c>
      <c r="G16" s="70">
        <f t="shared" si="7"/>
        <v>30.22189230064003</v>
      </c>
      <c r="H16" s="70">
        <f t="shared" si="8"/>
        <v>41.9239475194603</v>
      </c>
      <c r="I16" s="26">
        <f t="shared" si="9"/>
        <v>16.9</v>
      </c>
      <c r="J16" s="71">
        <f>'[1]А-4'!$G$19</f>
        <v>6.1</v>
      </c>
      <c r="K16" s="71">
        <f>'[1]А-4'!$H$19</f>
        <v>10.8</v>
      </c>
      <c r="L16" s="26">
        <f>'[1]А-4'!$Q$19</f>
        <v>4</v>
      </c>
      <c r="M16" s="26">
        <f>'[1]А-4'!$AC$19</f>
        <v>1</v>
      </c>
      <c r="N16" s="21">
        <f t="shared" si="10"/>
        <v>6.557377049180328</v>
      </c>
      <c r="O16" s="21">
        <f t="shared" si="11"/>
        <v>0.9259259259259258</v>
      </c>
      <c r="P16" s="26">
        <f t="shared" si="1"/>
        <v>3.5</v>
      </c>
      <c r="Q16" s="26">
        <f t="shared" si="12"/>
        <v>0.5</v>
      </c>
      <c r="R16" s="22">
        <f t="shared" si="13"/>
        <v>105</v>
      </c>
      <c r="S16" s="22">
        <f t="shared" si="14"/>
        <v>20</v>
      </c>
      <c r="T16" s="16">
        <f t="shared" si="15"/>
        <v>125</v>
      </c>
      <c r="U16" s="24">
        <f>ROUNDDOWN(IF(T16&lt;$O$3,"0",T16*5/100),0)</f>
        <v>6</v>
      </c>
      <c r="V16" s="9">
        <v>5</v>
      </c>
      <c r="W16" s="24">
        <f t="shared" si="16"/>
        <v>5</v>
      </c>
      <c r="X16" s="48">
        <f t="shared" si="5"/>
        <v>1.7326016345737254</v>
      </c>
    </row>
    <row r="17" spans="1:24" s="2" customFormat="1" ht="12.75">
      <c r="A17" s="28">
        <f t="shared" si="17"/>
        <v>9</v>
      </c>
      <c r="B17" s="215" t="s">
        <v>76</v>
      </c>
      <c r="C17" s="216"/>
      <c r="D17" s="18">
        <f>'[1]А-4'!$F$21</f>
        <v>3</v>
      </c>
      <c r="E17" s="95">
        <f>'[1]Норматив и фактически 2017'!$F$22</f>
        <v>136</v>
      </c>
      <c r="F17" s="112">
        <f t="shared" si="6"/>
        <v>130.13042726171943</v>
      </c>
      <c r="G17" s="70">
        <f t="shared" si="7"/>
        <v>54.51163597993427</v>
      </c>
      <c r="H17" s="70">
        <f t="shared" si="8"/>
        <v>75.61879128178515</v>
      </c>
      <c r="I17" s="26">
        <f t="shared" si="9"/>
        <v>35.1</v>
      </c>
      <c r="J17" s="19">
        <f>'[1]А-4'!$G$21</f>
        <v>23.200000000000003</v>
      </c>
      <c r="K17" s="19">
        <f>'[1]А-4'!$H$21</f>
        <v>11.9</v>
      </c>
      <c r="L17" s="26">
        <f>'[1]А-4'!$Q$21</f>
        <v>0</v>
      </c>
      <c r="M17" s="26">
        <f>'[1]А-4'!$AC$21</f>
        <v>0</v>
      </c>
      <c r="N17" s="21">
        <f t="shared" si="10"/>
        <v>0</v>
      </c>
      <c r="O17" s="21">
        <f t="shared" si="11"/>
        <v>0</v>
      </c>
      <c r="P17" s="26">
        <f t="shared" si="1"/>
        <v>0</v>
      </c>
      <c r="Q17" s="26">
        <f t="shared" si="12"/>
        <v>0</v>
      </c>
      <c r="R17" s="22">
        <f t="shared" si="13"/>
        <v>0</v>
      </c>
      <c r="S17" s="22">
        <f t="shared" si="14"/>
        <v>0</v>
      </c>
      <c r="T17" s="16">
        <f t="shared" si="15"/>
        <v>0</v>
      </c>
      <c r="U17" s="24">
        <f t="shared" si="18"/>
        <v>0</v>
      </c>
      <c r="V17" s="9">
        <v>0</v>
      </c>
      <c r="W17" s="24">
        <f t="shared" si="16"/>
        <v>0</v>
      </c>
      <c r="X17" s="48">
        <f t="shared" si="5"/>
        <v>0</v>
      </c>
    </row>
    <row r="18" spans="1:24" s="2" customFormat="1" ht="12.75">
      <c r="A18" s="28">
        <f t="shared" si="17"/>
        <v>10</v>
      </c>
      <c r="B18" s="46" t="s">
        <v>77</v>
      </c>
      <c r="C18" s="46"/>
      <c r="D18" s="18">
        <f>'[1]А-4'!$F$22</f>
        <v>0</v>
      </c>
      <c r="E18" s="95">
        <f>'[1]Норматив и фактически 2017'!$F$23</f>
        <v>113</v>
      </c>
      <c r="F18" s="112">
        <f t="shared" si="6"/>
        <v>108.12307559245805</v>
      </c>
      <c r="G18" s="70">
        <f t="shared" si="7"/>
        <v>45.292756365680674</v>
      </c>
      <c r="H18" s="70">
        <f t="shared" si="8"/>
        <v>62.83031922677737</v>
      </c>
      <c r="I18" s="26">
        <f t="shared" si="9"/>
        <v>0</v>
      </c>
      <c r="J18" s="19">
        <f>'[1]А-4'!$G$22</f>
        <v>0</v>
      </c>
      <c r="K18" s="19">
        <f>'[1]А-4'!$H$22</f>
        <v>0</v>
      </c>
      <c r="L18" s="26">
        <f>'[1]А-4'!$Q$22</f>
        <v>0</v>
      </c>
      <c r="M18" s="26">
        <f>'[1]А-4'!$AC$22</f>
        <v>0</v>
      </c>
      <c r="N18" s="21"/>
      <c r="O18" s="21"/>
      <c r="P18" s="26">
        <f t="shared" si="1"/>
        <v>0</v>
      </c>
      <c r="Q18" s="26">
        <f t="shared" si="12"/>
        <v>0</v>
      </c>
      <c r="R18" s="22">
        <f t="shared" si="13"/>
        <v>0</v>
      </c>
      <c r="S18" s="22">
        <f t="shared" si="14"/>
        <v>0</v>
      </c>
      <c r="T18" s="16">
        <f t="shared" si="15"/>
        <v>0</v>
      </c>
      <c r="U18" s="24">
        <f t="shared" si="18"/>
        <v>0</v>
      </c>
      <c r="V18" s="23">
        <v>0</v>
      </c>
      <c r="W18" s="24">
        <f t="shared" si="16"/>
        <v>0</v>
      </c>
      <c r="X18" s="48">
        <f t="shared" si="5"/>
        <v>0</v>
      </c>
    </row>
    <row r="19" spans="1:24" ht="12.75">
      <c r="A19" s="28">
        <f t="shared" si="17"/>
        <v>11</v>
      </c>
      <c r="B19" s="46" t="s">
        <v>78</v>
      </c>
      <c r="C19" s="46"/>
      <c r="D19" s="18">
        <f>'[1]А-4'!$F$23</f>
        <v>1</v>
      </c>
      <c r="E19" s="95">
        <f>'[1]Норматив и фактически 2017'!$F$24</f>
        <v>205.097</v>
      </c>
      <c r="F19" s="112">
        <f t="shared" si="6"/>
        <v>196.2452958830652</v>
      </c>
      <c r="G19" s="70">
        <f t="shared" si="7"/>
        <v>82.20715444541601</v>
      </c>
      <c r="H19" s="70">
        <f t="shared" si="8"/>
        <v>114.03814143764919</v>
      </c>
      <c r="I19" s="26">
        <f t="shared" si="9"/>
        <v>11.34</v>
      </c>
      <c r="J19" s="19">
        <f>'[1]А-4'!$G$23</f>
        <v>11.34</v>
      </c>
      <c r="K19" s="19">
        <f>'[1]А-4'!$H$23</f>
        <v>0</v>
      </c>
      <c r="L19" s="26">
        <f>'[1]А-4'!$Q$23</f>
        <v>2</v>
      </c>
      <c r="M19" s="26">
        <f>'[1]А-4'!$AC$23</f>
        <v>0</v>
      </c>
      <c r="N19" s="21">
        <f t="shared" si="10"/>
        <v>1.7636684303350971</v>
      </c>
      <c r="O19" s="21"/>
      <c r="P19" s="26">
        <f t="shared" si="1"/>
        <v>1</v>
      </c>
      <c r="Q19" s="26">
        <f t="shared" si="12"/>
        <v>0</v>
      </c>
      <c r="R19" s="22">
        <f t="shared" si="13"/>
        <v>82</v>
      </c>
      <c r="S19" s="22">
        <f t="shared" si="14"/>
        <v>0</v>
      </c>
      <c r="T19" s="16">
        <f t="shared" si="15"/>
        <v>82</v>
      </c>
      <c r="U19" s="24">
        <f t="shared" si="18"/>
        <v>2</v>
      </c>
      <c r="V19" s="23">
        <v>1</v>
      </c>
      <c r="W19" s="24">
        <f t="shared" si="16"/>
        <v>1</v>
      </c>
      <c r="X19" s="48">
        <f t="shared" si="5"/>
        <v>0.41784441064442407</v>
      </c>
    </row>
    <row r="20" spans="1:24" ht="12" customHeight="1">
      <c r="A20" s="28">
        <f t="shared" si="17"/>
        <v>12</v>
      </c>
      <c r="B20" s="80" t="s">
        <v>38</v>
      </c>
      <c r="C20" s="81"/>
      <c r="D20" s="18">
        <f>'[1]А-4'!$F$24</f>
        <v>0</v>
      </c>
      <c r="E20" s="95">
        <f>'[1]Норматив и фактически 2017'!$F$25</f>
        <v>116.6</v>
      </c>
      <c r="F20" s="112">
        <f t="shared" si="6"/>
        <v>111.56770454938591</v>
      </c>
      <c r="G20" s="70">
        <f t="shared" si="7"/>
        <v>46.735711435737755</v>
      </c>
      <c r="H20" s="70">
        <f t="shared" si="8"/>
        <v>64.83199311364814</v>
      </c>
      <c r="I20" s="26">
        <f t="shared" si="9"/>
        <v>0</v>
      </c>
      <c r="J20" s="19">
        <f>'[1]А-4'!$G$24</f>
        <v>0</v>
      </c>
      <c r="K20" s="19">
        <f>'[1]А-4'!$H$24</f>
        <v>0</v>
      </c>
      <c r="L20" s="26">
        <f>'[1]А-4'!$Q$24</f>
        <v>0</v>
      </c>
      <c r="M20" s="26">
        <f>'[1]А-4'!$AC$24</f>
        <v>0</v>
      </c>
      <c r="N20" s="21"/>
      <c r="O20" s="21"/>
      <c r="P20" s="26">
        <f t="shared" si="1"/>
        <v>0</v>
      </c>
      <c r="Q20" s="26">
        <f t="shared" si="12"/>
        <v>0</v>
      </c>
      <c r="R20" s="22">
        <f t="shared" si="13"/>
        <v>0</v>
      </c>
      <c r="S20" s="22">
        <f t="shared" si="14"/>
        <v>0</v>
      </c>
      <c r="T20" s="16">
        <f t="shared" si="15"/>
        <v>0</v>
      </c>
      <c r="U20" s="24">
        <f t="shared" si="18"/>
        <v>0</v>
      </c>
      <c r="V20" s="9">
        <v>0</v>
      </c>
      <c r="W20" s="24">
        <f t="shared" si="16"/>
        <v>0</v>
      </c>
      <c r="X20" s="48">
        <f t="shared" si="5"/>
        <v>0</v>
      </c>
    </row>
    <row r="21" spans="1:24" s="27" customFormat="1" ht="12.75">
      <c r="A21" s="28">
        <f t="shared" si="17"/>
        <v>13</v>
      </c>
      <c r="B21" s="11" t="s">
        <v>10</v>
      </c>
      <c r="C21" s="7"/>
      <c r="D21" s="19">
        <f>'[1]А-4'!$F$25</f>
        <v>5</v>
      </c>
      <c r="E21" s="95">
        <f>'[1]Норматив и фактически 2017'!$F$26</f>
        <v>201.063</v>
      </c>
      <c r="F21" s="112">
        <f t="shared" si="6"/>
        <v>192.38539776855214</v>
      </c>
      <c r="G21" s="70">
        <f t="shared" si="7"/>
        <v>80.59024312524649</v>
      </c>
      <c r="H21" s="70">
        <f t="shared" si="8"/>
        <v>111.79515464330564</v>
      </c>
      <c r="I21" s="26">
        <f t="shared" si="9"/>
        <v>54.45</v>
      </c>
      <c r="J21" s="19">
        <f>'[1]А-4'!$G$25</f>
        <v>52.85</v>
      </c>
      <c r="K21" s="19">
        <f>'[1]А-4'!$H$25</f>
        <v>1.6</v>
      </c>
      <c r="L21" s="26">
        <f>'[1]А-4'!$Q$25</f>
        <v>14</v>
      </c>
      <c r="M21" s="26">
        <f>'[1]А-4'!$AC$25</f>
        <v>0</v>
      </c>
      <c r="N21" s="21">
        <f t="shared" si="10"/>
        <v>2.649006622516556</v>
      </c>
      <c r="O21" s="21">
        <f t="shared" si="11"/>
        <v>0</v>
      </c>
      <c r="P21" s="26">
        <f t="shared" si="1"/>
        <v>1.4</v>
      </c>
      <c r="Q21" s="26">
        <f t="shared" si="12"/>
        <v>0</v>
      </c>
      <c r="R21" s="22">
        <f t="shared" si="13"/>
        <v>112</v>
      </c>
      <c r="S21" s="22">
        <f t="shared" si="14"/>
        <v>0</v>
      </c>
      <c r="T21" s="16">
        <f t="shared" si="15"/>
        <v>112</v>
      </c>
      <c r="U21" s="24">
        <f t="shared" si="18"/>
        <v>3</v>
      </c>
      <c r="V21" s="7">
        <v>3</v>
      </c>
      <c r="W21" s="24">
        <f t="shared" si="16"/>
        <v>3</v>
      </c>
      <c r="X21" s="48">
        <f t="shared" si="5"/>
        <v>0.5821647656166753</v>
      </c>
    </row>
    <row r="22" spans="1:24" ht="12.75">
      <c r="A22" s="28">
        <f t="shared" si="17"/>
        <v>14</v>
      </c>
      <c r="B22" s="12" t="s">
        <v>26</v>
      </c>
      <c r="C22" s="34"/>
      <c r="D22" s="19">
        <f>'[1]А-4'!$F$26</f>
        <v>3</v>
      </c>
      <c r="E22" s="95">
        <f>'[1]Норматив и фактически 2017'!$F$27</f>
        <v>67.361</v>
      </c>
      <c r="F22" s="112">
        <f t="shared" si="6"/>
        <v>64.45379199100502</v>
      </c>
      <c r="G22" s="70">
        <f t="shared" si="7"/>
        <v>26.999693465032003</v>
      </c>
      <c r="H22" s="70">
        <f t="shared" si="8"/>
        <v>37.454098525973016</v>
      </c>
      <c r="I22" s="26">
        <f t="shared" si="9"/>
        <v>32.4</v>
      </c>
      <c r="J22" s="19">
        <f>'[1]А-4'!$G$26</f>
        <v>26.199999999999996</v>
      </c>
      <c r="K22" s="19">
        <f>'[1]А-4'!$H$26</f>
        <v>6.2</v>
      </c>
      <c r="L22" s="26">
        <f>'[1]А-4'!$Q$26</f>
        <v>10</v>
      </c>
      <c r="M22" s="26">
        <f>'[1]А-4'!$AC$26</f>
        <v>0</v>
      </c>
      <c r="N22" s="21">
        <f t="shared" si="10"/>
        <v>3.8167938931297716</v>
      </c>
      <c r="O22" s="21">
        <f t="shared" si="11"/>
        <v>0</v>
      </c>
      <c r="P22" s="26">
        <f t="shared" si="1"/>
        <v>2.1</v>
      </c>
      <c r="Q22" s="26">
        <f t="shared" si="12"/>
        <v>0</v>
      </c>
      <c r="R22" s="22">
        <f t="shared" si="13"/>
        <v>56</v>
      </c>
      <c r="S22" s="22">
        <f t="shared" si="14"/>
        <v>0</v>
      </c>
      <c r="T22" s="16">
        <f t="shared" si="15"/>
        <v>56</v>
      </c>
      <c r="U22" s="24">
        <f t="shared" si="18"/>
        <v>1</v>
      </c>
      <c r="V22" s="9">
        <v>1</v>
      </c>
      <c r="W22" s="24">
        <f t="shared" si="16"/>
        <v>1</v>
      </c>
      <c r="X22" s="48">
        <f t="shared" si="5"/>
        <v>0.8688394936920887</v>
      </c>
    </row>
    <row r="23" spans="1:24" ht="12.75">
      <c r="A23" s="28">
        <f t="shared" si="17"/>
        <v>15</v>
      </c>
      <c r="B23" s="197" t="s">
        <v>55</v>
      </c>
      <c r="C23" s="198"/>
      <c r="D23" s="18">
        <f>'[1]А-4'!$F$27</f>
        <v>3</v>
      </c>
      <c r="E23" s="95">
        <f>'[1]Норматив и фактически 2017'!$F$28</f>
        <v>53.867</v>
      </c>
      <c r="F23" s="112">
        <f t="shared" si="6"/>
        <v>51.54217445078706</v>
      </c>
      <c r="G23" s="70">
        <f t="shared" si="7"/>
        <v>21.591016877434697</v>
      </c>
      <c r="H23" s="70">
        <f t="shared" si="8"/>
        <v>29.951157573352358</v>
      </c>
      <c r="I23" s="26">
        <f t="shared" si="9"/>
        <v>36.21000000000001</v>
      </c>
      <c r="J23" s="19">
        <f>'[1]А-4'!$G$27</f>
        <v>18.830000000000002</v>
      </c>
      <c r="K23" s="19">
        <f>'[1]А-4'!$H$27</f>
        <v>17.380000000000003</v>
      </c>
      <c r="L23" s="26">
        <f>'[1]А-4'!$Q$27</f>
        <v>9</v>
      </c>
      <c r="M23" s="26">
        <f>'[1]А-4'!$AC$27</f>
        <v>0</v>
      </c>
      <c r="N23" s="21">
        <f t="shared" si="10"/>
        <v>4.779607010090281</v>
      </c>
      <c r="O23" s="21">
        <f t="shared" si="11"/>
        <v>0</v>
      </c>
      <c r="P23" s="26">
        <f t="shared" si="1"/>
        <v>2.6</v>
      </c>
      <c r="Q23" s="26">
        <f t="shared" si="12"/>
        <v>0</v>
      </c>
      <c r="R23" s="22">
        <f t="shared" si="13"/>
        <v>56</v>
      </c>
      <c r="S23" s="22">
        <f t="shared" si="14"/>
        <v>0</v>
      </c>
      <c r="T23" s="16">
        <f t="shared" si="15"/>
        <v>56</v>
      </c>
      <c r="U23" s="24">
        <f>ROUNDDOWN(IF(T23&lt;$O$3,"0",T23*5/100),0)</f>
        <v>2</v>
      </c>
      <c r="V23" s="9">
        <v>0</v>
      </c>
      <c r="W23" s="24">
        <f t="shared" si="16"/>
        <v>0</v>
      </c>
      <c r="X23" s="48">
        <f t="shared" si="5"/>
        <v>1.0864888918000406</v>
      </c>
    </row>
    <row r="24" spans="1:24" ht="12.75">
      <c r="A24" s="28">
        <f t="shared" si="17"/>
        <v>16</v>
      </c>
      <c r="B24" s="211" t="s">
        <v>56</v>
      </c>
      <c r="C24" s="212"/>
      <c r="D24" s="18">
        <f>'[1]А-4'!$F$29</f>
        <v>2</v>
      </c>
      <c r="E24" s="95">
        <f>'[1]Норматив и фактически 2017'!$F$29</f>
        <v>100.78</v>
      </c>
      <c r="F24" s="112">
        <f t="shared" si="6"/>
        <v>96.4304739664418</v>
      </c>
      <c r="G24" s="70">
        <f t="shared" si="7"/>
        <v>40.39472554454247</v>
      </c>
      <c r="H24" s="70">
        <f t="shared" si="8"/>
        <v>56.03574842189932</v>
      </c>
      <c r="I24" s="26">
        <f t="shared" si="9"/>
        <v>21.09</v>
      </c>
      <c r="J24" s="19">
        <f>'[1]А-4'!$G$29</f>
        <v>7.79</v>
      </c>
      <c r="K24" s="19">
        <f>'[1]А-4'!$H$29</f>
        <v>13.3</v>
      </c>
      <c r="L24" s="26">
        <f>'[1]А-4'!$Q$29</f>
        <v>0</v>
      </c>
      <c r="M24" s="26">
        <f>'[1]А-4'!$AC$29</f>
        <v>0</v>
      </c>
      <c r="N24" s="21">
        <f t="shared" si="10"/>
        <v>0</v>
      </c>
      <c r="O24" s="21">
        <f t="shared" si="11"/>
        <v>0</v>
      </c>
      <c r="P24" s="26">
        <f t="shared" si="1"/>
        <v>0</v>
      </c>
      <c r="Q24" s="26">
        <f t="shared" si="12"/>
        <v>0</v>
      </c>
      <c r="R24" s="22">
        <f t="shared" si="13"/>
        <v>0</v>
      </c>
      <c r="S24" s="22">
        <f t="shared" si="14"/>
        <v>0</v>
      </c>
      <c r="T24" s="16">
        <f t="shared" si="15"/>
        <v>0</v>
      </c>
      <c r="U24" s="24">
        <f t="shared" si="18"/>
        <v>0</v>
      </c>
      <c r="V24" s="9">
        <v>0</v>
      </c>
      <c r="W24" s="24">
        <f t="shared" si="16"/>
        <v>0</v>
      </c>
      <c r="X24" s="48">
        <f t="shared" si="5"/>
        <v>0</v>
      </c>
    </row>
    <row r="25" spans="1:24" ht="12.75">
      <c r="A25" s="28">
        <f t="shared" si="17"/>
        <v>17</v>
      </c>
      <c r="B25" s="47" t="s">
        <v>59</v>
      </c>
      <c r="C25" s="47"/>
      <c r="D25" s="18">
        <f>'[1]А-4'!$F$28</f>
        <v>0</v>
      </c>
      <c r="E25" s="95">
        <f>'[1]Норматив и фактически 2017'!$F$30</f>
        <v>34.42</v>
      </c>
      <c r="F25" s="112">
        <f t="shared" si="6"/>
        <v>32.93448019373811</v>
      </c>
      <c r="G25" s="70">
        <f t="shared" si="7"/>
        <v>13.796253753156895</v>
      </c>
      <c r="H25" s="70">
        <f t="shared" si="8"/>
        <v>19.138226440581214</v>
      </c>
      <c r="I25" s="26">
        <f t="shared" si="9"/>
        <v>0</v>
      </c>
      <c r="J25" s="19">
        <f>'[1]А-4'!$G$28</f>
        <v>0</v>
      </c>
      <c r="K25" s="19">
        <f>'[1]А-4'!$H$28</f>
        <v>0</v>
      </c>
      <c r="L25" s="26">
        <f>'[1]А-4'!$Q$28</f>
        <v>0</v>
      </c>
      <c r="M25" s="26">
        <f>'[1]А-4'!$AC$28</f>
        <v>0</v>
      </c>
      <c r="N25" s="21"/>
      <c r="O25" s="21"/>
      <c r="P25" s="26">
        <f t="shared" si="1"/>
        <v>0</v>
      </c>
      <c r="Q25" s="26">
        <f t="shared" si="12"/>
        <v>0</v>
      </c>
      <c r="R25" s="22">
        <f t="shared" si="13"/>
        <v>0</v>
      </c>
      <c r="S25" s="22">
        <f t="shared" si="14"/>
        <v>0</v>
      </c>
      <c r="T25" s="16">
        <f t="shared" si="15"/>
        <v>0</v>
      </c>
      <c r="U25" s="24">
        <f t="shared" si="18"/>
        <v>0</v>
      </c>
      <c r="V25" s="9"/>
      <c r="W25" s="24">
        <f t="shared" si="16"/>
        <v>0</v>
      </c>
      <c r="X25" s="48">
        <f t="shared" si="5"/>
        <v>0</v>
      </c>
    </row>
    <row r="26" spans="1:24" ht="12.75">
      <c r="A26" s="28">
        <f t="shared" si="17"/>
        <v>18</v>
      </c>
      <c r="B26" s="33" t="s">
        <v>11</v>
      </c>
      <c r="C26" s="34"/>
      <c r="D26" s="19">
        <f>'[1]А-4'!$F$34</f>
        <v>0</v>
      </c>
      <c r="E26" s="95">
        <f>'[1]Норматив и фактически 2017'!$F$31</f>
        <v>161.327</v>
      </c>
      <c r="F26" s="112">
        <f t="shared" si="6"/>
        <v>154.3643488150839</v>
      </c>
      <c r="G26" s="70">
        <f t="shared" si="7"/>
        <v>64.66322571863864</v>
      </c>
      <c r="H26" s="70">
        <f t="shared" si="8"/>
        <v>89.70112309644524</v>
      </c>
      <c r="I26" s="26">
        <f t="shared" si="9"/>
        <v>0</v>
      </c>
      <c r="J26" s="19">
        <f>'[1]А-4'!$G$34</f>
        <v>0</v>
      </c>
      <c r="K26" s="19">
        <f>'[1]А-4'!$H$34</f>
        <v>0</v>
      </c>
      <c r="L26" s="26">
        <f>'[1]А-4'!$Q$34</f>
        <v>0</v>
      </c>
      <c r="M26" s="26">
        <f>'[1]А-4'!$AC$34</f>
        <v>0</v>
      </c>
      <c r="N26" s="21"/>
      <c r="O26" s="21"/>
      <c r="P26" s="26">
        <f t="shared" si="1"/>
        <v>0</v>
      </c>
      <c r="Q26" s="26">
        <f t="shared" si="12"/>
        <v>0</v>
      </c>
      <c r="R26" s="22">
        <f t="shared" si="13"/>
        <v>0</v>
      </c>
      <c r="S26" s="22">
        <f t="shared" si="14"/>
        <v>0</v>
      </c>
      <c r="T26" s="16">
        <f t="shared" si="15"/>
        <v>0</v>
      </c>
      <c r="U26" s="24">
        <f t="shared" si="18"/>
        <v>0</v>
      </c>
      <c r="V26" s="9">
        <v>0</v>
      </c>
      <c r="W26" s="24">
        <f t="shared" si="16"/>
        <v>0</v>
      </c>
      <c r="X26" s="48">
        <f t="shared" si="5"/>
        <v>0</v>
      </c>
    </row>
    <row r="27" spans="1:24" ht="12.75">
      <c r="A27" s="28">
        <f t="shared" si="17"/>
        <v>19</v>
      </c>
      <c r="B27" s="33" t="s">
        <v>12</v>
      </c>
      <c r="C27" s="34"/>
      <c r="D27" s="18">
        <f>'[1]А-4'!$F$35</f>
        <v>0</v>
      </c>
      <c r="E27" s="95">
        <f>'[1]Норматив и фактически 2017'!$F$32</f>
        <v>681</v>
      </c>
      <c r="F27" s="112">
        <f t="shared" si="6"/>
        <v>651.6089776855215</v>
      </c>
      <c r="G27" s="70">
        <f t="shared" si="7"/>
        <v>272.95900075246493</v>
      </c>
      <c r="H27" s="70">
        <f t="shared" si="8"/>
        <v>378.6499769330565</v>
      </c>
      <c r="I27" s="26">
        <f t="shared" si="9"/>
        <v>0</v>
      </c>
      <c r="J27" s="19">
        <f>'[1]А-4'!$G$35</f>
        <v>0</v>
      </c>
      <c r="K27" s="19">
        <f>'[1]А-4'!$H$35</f>
        <v>0</v>
      </c>
      <c r="L27" s="26">
        <f>'[1]А-4'!$Q$35</f>
        <v>0</v>
      </c>
      <c r="M27" s="26">
        <f>'[1]А-4'!$AC$35</f>
        <v>0</v>
      </c>
      <c r="N27" s="21"/>
      <c r="O27" s="21"/>
      <c r="P27" s="26">
        <f t="shared" si="1"/>
        <v>0</v>
      </c>
      <c r="Q27" s="26">
        <f t="shared" si="12"/>
        <v>0</v>
      </c>
      <c r="R27" s="22">
        <f t="shared" si="13"/>
        <v>0</v>
      </c>
      <c r="S27" s="22">
        <f t="shared" si="14"/>
        <v>0</v>
      </c>
      <c r="T27" s="16">
        <f t="shared" si="15"/>
        <v>0</v>
      </c>
      <c r="U27" s="24">
        <f t="shared" si="18"/>
        <v>0</v>
      </c>
      <c r="V27" s="9">
        <v>0</v>
      </c>
      <c r="W27" s="24">
        <f t="shared" si="16"/>
        <v>0</v>
      </c>
      <c r="X27" s="48">
        <f t="shared" si="5"/>
        <v>0</v>
      </c>
    </row>
    <row r="28" spans="1:24" ht="12.75">
      <c r="A28" s="28">
        <f t="shared" si="17"/>
        <v>20</v>
      </c>
      <c r="B28" s="232" t="s">
        <v>14</v>
      </c>
      <c r="C28" s="233"/>
      <c r="D28" s="125">
        <f>'[1]А-4'!$F$49</f>
        <v>3</v>
      </c>
      <c r="E28" s="134">
        <f>'[1]Норматив и фактически 2017'!$F$33</f>
        <v>41.655</v>
      </c>
      <c r="F28" s="127">
        <f t="shared" si="6"/>
        <v>39.857227555786196</v>
      </c>
      <c r="G28" s="128">
        <f t="shared" si="7"/>
        <v>16.696192623118836</v>
      </c>
      <c r="H28" s="128">
        <f t="shared" si="8"/>
        <v>23.161034932667356</v>
      </c>
      <c r="I28" s="129">
        <f t="shared" si="9"/>
        <v>33.2</v>
      </c>
      <c r="J28" s="125">
        <f>'[1]А-4'!$G$49</f>
        <v>0</v>
      </c>
      <c r="K28" s="125">
        <f>'[1]А-4'!$H$49</f>
        <v>33.2</v>
      </c>
      <c r="L28" s="129">
        <f>'[1]А-4'!$Q$49</f>
        <v>0</v>
      </c>
      <c r="M28" s="129">
        <f>'[1]А-4'!$AC$49</f>
        <v>0</v>
      </c>
      <c r="N28" s="130"/>
      <c r="O28" s="130">
        <f t="shared" si="11"/>
        <v>0</v>
      </c>
      <c r="P28" s="129">
        <f t="shared" si="1"/>
        <v>0</v>
      </c>
      <c r="Q28" s="129">
        <f t="shared" si="12"/>
        <v>0</v>
      </c>
      <c r="R28" s="131">
        <f t="shared" si="13"/>
        <v>0</v>
      </c>
      <c r="S28" s="131">
        <f t="shared" si="14"/>
        <v>0</v>
      </c>
      <c r="T28" s="131">
        <f t="shared" si="15"/>
        <v>0</v>
      </c>
      <c r="U28" s="132">
        <f t="shared" si="18"/>
        <v>0</v>
      </c>
      <c r="V28" s="133"/>
      <c r="W28" s="132">
        <f t="shared" si="16"/>
        <v>0</v>
      </c>
      <c r="X28" s="48">
        <f t="shared" si="5"/>
        <v>0</v>
      </c>
    </row>
    <row r="29" spans="1:24" ht="12.75">
      <c r="A29" s="28">
        <f t="shared" si="17"/>
        <v>21</v>
      </c>
      <c r="B29" s="33" t="s">
        <v>61</v>
      </c>
      <c r="C29" s="34"/>
      <c r="D29" s="19">
        <f>'[1]А-4'!$F$44</f>
        <v>3</v>
      </c>
      <c r="E29" s="95">
        <f>'[1]Норматив и фактически 2017'!$F$34</f>
        <v>237.32</v>
      </c>
      <c r="F29" s="112">
        <f t="shared" si="6"/>
        <v>227.07759557170039</v>
      </c>
      <c r="G29" s="70">
        <f t="shared" si="7"/>
        <v>95.12280478498529</v>
      </c>
      <c r="H29" s="70">
        <f t="shared" si="8"/>
        <v>131.95479078671508</v>
      </c>
      <c r="I29" s="26">
        <f t="shared" si="9"/>
        <v>33.5</v>
      </c>
      <c r="J29" s="19">
        <f>'[1]А-4'!$G$44</f>
        <v>19.599999999999998</v>
      </c>
      <c r="K29" s="19">
        <f>'[1]А-4'!$H$44</f>
        <v>13.899999999999999</v>
      </c>
      <c r="L29" s="26">
        <f>'[1]А-4'!$Q$44</f>
        <v>0</v>
      </c>
      <c r="M29" s="26">
        <f>'[1]А-4'!$AC$44</f>
        <v>3</v>
      </c>
      <c r="N29" s="21">
        <f t="shared" si="10"/>
        <v>0</v>
      </c>
      <c r="O29" s="21">
        <f t="shared" si="11"/>
        <v>2.1582733812949644</v>
      </c>
      <c r="P29" s="26">
        <f t="shared" si="1"/>
        <v>0</v>
      </c>
      <c r="Q29" s="26">
        <f t="shared" si="12"/>
        <v>1.2</v>
      </c>
      <c r="R29" s="22">
        <f t="shared" si="13"/>
        <v>0</v>
      </c>
      <c r="S29" s="22">
        <f t="shared" si="14"/>
        <v>158</v>
      </c>
      <c r="T29" s="16">
        <f t="shared" si="15"/>
        <v>158</v>
      </c>
      <c r="U29" s="24">
        <f t="shared" si="18"/>
        <v>4</v>
      </c>
      <c r="V29" s="7"/>
      <c r="W29" s="24">
        <v>4</v>
      </c>
      <c r="X29" s="48">
        <f t="shared" si="5"/>
        <v>0.6957973973707637</v>
      </c>
    </row>
    <row r="30" spans="1:24" ht="12.75">
      <c r="A30" s="28">
        <f t="shared" si="17"/>
        <v>22</v>
      </c>
      <c r="B30" s="33" t="s">
        <v>124</v>
      </c>
      <c r="C30" s="34"/>
      <c r="D30" s="18">
        <f>'[1]А-4'!$F$46</f>
        <v>0</v>
      </c>
      <c r="E30" s="95">
        <f>'[1]Норматив и фактически 2017'!$F$35</f>
        <v>124.78</v>
      </c>
      <c r="F30" s="112">
        <f t="shared" si="6"/>
        <v>119.39466701262756</v>
      </c>
      <c r="G30" s="70">
        <f t="shared" si="7"/>
        <v>50.014426011589684</v>
      </c>
      <c r="H30" s="70">
        <f t="shared" si="8"/>
        <v>69.38024100103787</v>
      </c>
      <c r="I30" s="26">
        <f t="shared" si="9"/>
        <v>0</v>
      </c>
      <c r="J30" s="19">
        <f>'[1]А-4'!$G$46</f>
        <v>0</v>
      </c>
      <c r="K30" s="19">
        <f>'[1]А-4'!$H$46</f>
        <v>0</v>
      </c>
      <c r="L30" s="26">
        <f>'[1]А-4'!$Q$46</f>
        <v>0</v>
      </c>
      <c r="M30" s="26">
        <f>'[1]А-4'!$AC$46</f>
        <v>0</v>
      </c>
      <c r="N30" s="21"/>
      <c r="O30" s="21"/>
      <c r="P30" s="26">
        <f t="shared" si="1"/>
        <v>0</v>
      </c>
      <c r="Q30" s="26">
        <f t="shared" si="12"/>
        <v>0</v>
      </c>
      <c r="R30" s="22">
        <f t="shared" si="13"/>
        <v>0</v>
      </c>
      <c r="S30" s="22">
        <f t="shared" si="14"/>
        <v>0</v>
      </c>
      <c r="T30" s="16">
        <f t="shared" si="15"/>
        <v>0</v>
      </c>
      <c r="U30" s="24">
        <f t="shared" si="18"/>
        <v>0</v>
      </c>
      <c r="V30" s="9">
        <v>0</v>
      </c>
      <c r="W30" s="24">
        <f t="shared" si="16"/>
        <v>0</v>
      </c>
      <c r="X30" s="48">
        <f t="shared" si="5"/>
        <v>0</v>
      </c>
    </row>
    <row r="31" spans="1:24" ht="12.75">
      <c r="A31" s="28">
        <f t="shared" si="17"/>
        <v>23</v>
      </c>
      <c r="B31" s="80" t="s">
        <v>25</v>
      </c>
      <c r="C31" s="82"/>
      <c r="D31" s="18">
        <f>'[1]А-4'!$F$30</f>
        <v>0</v>
      </c>
      <c r="E31" s="95">
        <f>'[1]Норматив и фактически 2017'!$F$36</f>
        <v>25.6365</v>
      </c>
      <c r="F31" s="112">
        <f t="shared" si="6"/>
        <v>24.530063959522575</v>
      </c>
      <c r="G31" s="70">
        <f t="shared" si="7"/>
        <v>10.275643792644006</v>
      </c>
      <c r="H31" s="70">
        <f t="shared" si="8"/>
        <v>14.254420166878567</v>
      </c>
      <c r="I31" s="26">
        <f t="shared" si="9"/>
        <v>0</v>
      </c>
      <c r="J31" s="19">
        <f>'[1]А-4'!$G$30</f>
        <v>0</v>
      </c>
      <c r="K31" s="19">
        <f>'[1]А-4'!$H$30</f>
        <v>0</v>
      </c>
      <c r="L31" s="26">
        <f>'[1]А-4'!$Q$30</f>
        <v>0</v>
      </c>
      <c r="M31" s="26">
        <f>'[1]А-4'!$AC$30</f>
        <v>0</v>
      </c>
      <c r="N31" s="21"/>
      <c r="O31" s="21"/>
      <c r="P31" s="26">
        <f t="shared" si="1"/>
        <v>0</v>
      </c>
      <c r="Q31" s="26">
        <f t="shared" si="12"/>
        <v>0</v>
      </c>
      <c r="R31" s="22">
        <f t="shared" si="13"/>
        <v>0</v>
      </c>
      <c r="S31" s="22">
        <f t="shared" si="14"/>
        <v>0</v>
      </c>
      <c r="T31" s="16">
        <f t="shared" si="15"/>
        <v>0</v>
      </c>
      <c r="U31" s="24">
        <f t="shared" si="18"/>
        <v>0</v>
      </c>
      <c r="V31" s="9">
        <v>0</v>
      </c>
      <c r="W31" s="24">
        <f t="shared" si="16"/>
        <v>0</v>
      </c>
      <c r="X31" s="48">
        <f t="shared" si="5"/>
        <v>0</v>
      </c>
    </row>
    <row r="32" spans="1:24" s="27" customFormat="1" ht="14.25" customHeight="1">
      <c r="A32" s="28">
        <f t="shared" si="17"/>
        <v>24</v>
      </c>
      <c r="B32" s="33" t="s">
        <v>13</v>
      </c>
      <c r="C32" s="34"/>
      <c r="D32" s="19">
        <f>'[1]А-4'!$F$38</f>
        <v>4</v>
      </c>
      <c r="E32" s="95">
        <f>'[1]Норматив и фактически 2017'!$F$37</f>
        <v>240.043</v>
      </c>
      <c r="F32" s="112">
        <f t="shared" si="6"/>
        <v>229.68307464106556</v>
      </c>
      <c r="G32" s="70">
        <f t="shared" si="7"/>
        <v>96.21423996714236</v>
      </c>
      <c r="H32" s="70">
        <f t="shared" si="8"/>
        <v>133.4688346739232</v>
      </c>
      <c r="I32" s="26">
        <f t="shared" si="9"/>
        <v>39.3</v>
      </c>
      <c r="J32" s="19">
        <f>'[1]А-4'!$G$38</f>
        <v>29.3</v>
      </c>
      <c r="K32" s="19">
        <f>'[1]А-4'!$H$38</f>
        <v>10</v>
      </c>
      <c r="L32" s="26">
        <f>'[1]А-4'!$Q$38</f>
        <v>7</v>
      </c>
      <c r="M32" s="26">
        <f>'[1]А-4'!$AC$38</f>
        <v>0</v>
      </c>
      <c r="N32" s="21">
        <f t="shared" si="10"/>
        <v>2.3890784982935154</v>
      </c>
      <c r="O32" s="21">
        <f t="shared" si="11"/>
        <v>0</v>
      </c>
      <c r="P32" s="26">
        <f t="shared" si="1"/>
        <v>1.3</v>
      </c>
      <c r="Q32" s="26">
        <f t="shared" si="12"/>
        <v>0</v>
      </c>
      <c r="R32" s="22">
        <f t="shared" si="13"/>
        <v>125</v>
      </c>
      <c r="S32" s="22">
        <f t="shared" si="14"/>
        <v>0</v>
      </c>
      <c r="T32" s="16">
        <f t="shared" si="15"/>
        <v>125</v>
      </c>
      <c r="U32" s="24">
        <f t="shared" si="18"/>
        <v>3</v>
      </c>
      <c r="V32" s="7">
        <v>3</v>
      </c>
      <c r="W32" s="24">
        <f t="shared" si="16"/>
        <v>3</v>
      </c>
      <c r="X32" s="48">
        <f t="shared" si="5"/>
        <v>0.544228172647646</v>
      </c>
    </row>
    <row r="33" spans="1:24" ht="12.75" customHeight="1">
      <c r="A33" s="28">
        <f t="shared" si="17"/>
        <v>25</v>
      </c>
      <c r="B33" s="123" t="s">
        <v>15</v>
      </c>
      <c r="C33" s="124"/>
      <c r="D33" s="125">
        <f>'[1]А-4'!$F$50</f>
        <v>3</v>
      </c>
      <c r="E33" s="126">
        <f>'[1]Норматив и фактически 2017'!$F$38</f>
        <v>72.263</v>
      </c>
      <c r="F33" s="127">
        <f t="shared" si="6"/>
        <v>69.14422842068846</v>
      </c>
      <c r="G33" s="128">
        <f t="shared" si="7"/>
        <v>28.964517285426396</v>
      </c>
      <c r="H33" s="128">
        <f t="shared" si="8"/>
        <v>40.17971113526206</v>
      </c>
      <c r="I33" s="129">
        <f t="shared" si="9"/>
        <v>36.040000000000006</v>
      </c>
      <c r="J33" s="125">
        <f>'[1]А-4'!$G$50</f>
        <v>25.900000000000002</v>
      </c>
      <c r="K33" s="125">
        <f>'[1]А-4'!$H$50</f>
        <v>10.14</v>
      </c>
      <c r="L33" s="129">
        <f>'[1]А-4'!$Q$50</f>
        <v>0</v>
      </c>
      <c r="M33" s="129">
        <f>'[1]А-4'!$AC$50</f>
        <v>0</v>
      </c>
      <c r="N33" s="130">
        <f t="shared" si="10"/>
        <v>0</v>
      </c>
      <c r="O33" s="130">
        <f t="shared" si="11"/>
        <v>0</v>
      </c>
      <c r="P33" s="129">
        <f t="shared" si="1"/>
        <v>0</v>
      </c>
      <c r="Q33" s="129">
        <f t="shared" si="12"/>
        <v>0</v>
      </c>
      <c r="R33" s="131">
        <f t="shared" si="13"/>
        <v>0</v>
      </c>
      <c r="S33" s="131">
        <f t="shared" si="14"/>
        <v>0</v>
      </c>
      <c r="T33" s="131">
        <f t="shared" si="15"/>
        <v>0</v>
      </c>
      <c r="U33" s="132">
        <f t="shared" si="18"/>
        <v>0</v>
      </c>
      <c r="V33" s="133"/>
      <c r="W33" s="132">
        <f t="shared" si="16"/>
        <v>0</v>
      </c>
      <c r="X33" s="48">
        <f t="shared" si="5"/>
        <v>0</v>
      </c>
    </row>
    <row r="34" spans="1:24" ht="12.75">
      <c r="A34" s="28">
        <f t="shared" si="17"/>
        <v>26</v>
      </c>
      <c r="B34" s="36" t="s">
        <v>27</v>
      </c>
      <c r="C34" s="37"/>
      <c r="D34" s="19">
        <f>'[1]А-4'!$F$42</f>
        <v>3</v>
      </c>
      <c r="E34" s="95">
        <f>'[1]Норматив и фактически 2017'!$F$39</f>
        <v>48</v>
      </c>
      <c r="F34" s="112">
        <f t="shared" si="6"/>
        <v>45.92838609237156</v>
      </c>
      <c r="G34" s="70">
        <f t="shared" si="7"/>
        <v>19.239400934094448</v>
      </c>
      <c r="H34" s="70">
        <f t="shared" si="8"/>
        <v>26.688985158277113</v>
      </c>
      <c r="I34" s="26">
        <f t="shared" si="9"/>
        <v>30.3</v>
      </c>
      <c r="J34" s="19">
        <f>'[1]А-4'!$G$42</f>
        <v>26.7</v>
      </c>
      <c r="K34" s="19">
        <f>'[1]А-4'!$H$42</f>
        <v>3.6</v>
      </c>
      <c r="L34" s="26">
        <f>'[1]А-4'!$Q$42</f>
        <v>9</v>
      </c>
      <c r="M34" s="26">
        <f>'[1]А-4'!$AC$42</f>
        <v>0</v>
      </c>
      <c r="N34" s="21">
        <f t="shared" si="10"/>
        <v>3.370786516853933</v>
      </c>
      <c r="O34" s="21">
        <f t="shared" si="11"/>
        <v>0</v>
      </c>
      <c r="P34" s="26">
        <f t="shared" si="1"/>
        <v>1.8</v>
      </c>
      <c r="Q34" s="26">
        <f t="shared" si="12"/>
        <v>0</v>
      </c>
      <c r="R34" s="22">
        <f t="shared" si="13"/>
        <v>34</v>
      </c>
      <c r="S34" s="22">
        <f t="shared" si="14"/>
        <v>0</v>
      </c>
      <c r="T34" s="16">
        <f t="shared" si="15"/>
        <v>34</v>
      </c>
      <c r="U34" s="24">
        <f t="shared" si="18"/>
        <v>1</v>
      </c>
      <c r="V34" s="7">
        <v>2</v>
      </c>
      <c r="W34" s="24">
        <f t="shared" si="16"/>
        <v>1</v>
      </c>
      <c r="X34" s="48">
        <f t="shared" si="5"/>
        <v>0.7402829250655337</v>
      </c>
    </row>
    <row r="35" spans="1:24" s="27" customFormat="1" ht="12.75">
      <c r="A35" s="28">
        <f t="shared" si="17"/>
        <v>27</v>
      </c>
      <c r="B35" s="42" t="s">
        <v>125</v>
      </c>
      <c r="C35" s="43"/>
      <c r="D35" s="19">
        <f>'[1]А-4'!$F$43</f>
        <v>4</v>
      </c>
      <c r="E35" s="95">
        <f>'[1]Норматив и фактически 2017'!$F$40</f>
        <v>149.4</v>
      </c>
      <c r="F35" s="112">
        <f t="shared" si="6"/>
        <v>142.95210171250648</v>
      </c>
      <c r="G35" s="70">
        <f t="shared" si="7"/>
        <v>59.88263540736896</v>
      </c>
      <c r="H35" s="70">
        <f t="shared" si="8"/>
        <v>83.06946630513751</v>
      </c>
      <c r="I35" s="26">
        <f t="shared" si="9"/>
        <v>41.120000000000005</v>
      </c>
      <c r="J35" s="19">
        <f>'[1]А-4'!$G$43</f>
        <v>32.5</v>
      </c>
      <c r="K35" s="19">
        <f>'[1]А-4'!$H$43</f>
        <v>8.620000000000001</v>
      </c>
      <c r="L35" s="26">
        <f>'[1]А-4'!$Q$43</f>
        <v>10</v>
      </c>
      <c r="M35" s="26">
        <f>'[1]А-4'!$AC$43</f>
        <v>1</v>
      </c>
      <c r="N35" s="21">
        <f t="shared" si="10"/>
        <v>3.076923076923077</v>
      </c>
      <c r="O35" s="21">
        <f t="shared" si="11"/>
        <v>1.1600928074245938</v>
      </c>
      <c r="P35" s="26">
        <f t="shared" si="1"/>
        <v>1.7</v>
      </c>
      <c r="Q35" s="26">
        <f t="shared" si="12"/>
        <v>0.6</v>
      </c>
      <c r="R35" s="22">
        <f t="shared" si="13"/>
        <v>101</v>
      </c>
      <c r="S35" s="22">
        <f t="shared" si="14"/>
        <v>49</v>
      </c>
      <c r="T35" s="16">
        <f t="shared" si="15"/>
        <v>150</v>
      </c>
      <c r="U35" s="24">
        <f>ROUNDDOWN(IF(T35&lt;$O$3,"0",T35*5/100),0)</f>
        <v>7</v>
      </c>
      <c r="V35" s="9"/>
      <c r="W35" s="24">
        <v>7</v>
      </c>
      <c r="X35" s="48">
        <f t="shared" si="5"/>
        <v>1.0493025160390275</v>
      </c>
    </row>
    <row r="36" spans="1:24" ht="17.25" customHeight="1">
      <c r="A36" s="28">
        <f t="shared" si="17"/>
        <v>28</v>
      </c>
      <c r="B36" s="42" t="s">
        <v>60</v>
      </c>
      <c r="C36" s="43"/>
      <c r="D36" s="19">
        <f>'[1]А-4'!$F$37</f>
        <v>1</v>
      </c>
      <c r="E36" s="95">
        <f>'[1]Норматив и фактически 2017'!$F$41</f>
        <v>55.213</v>
      </c>
      <c r="F36" s="112">
        <f t="shared" si="6"/>
        <v>52.83008294412731</v>
      </c>
      <c r="G36" s="70">
        <f t="shared" si="7"/>
        <v>22.13052174529493</v>
      </c>
      <c r="H36" s="70">
        <f t="shared" si="8"/>
        <v>30.699561198832377</v>
      </c>
      <c r="I36" s="26">
        <f t="shared" si="9"/>
        <v>14</v>
      </c>
      <c r="J36" s="19">
        <f>'[1]А-4'!$G$37</f>
        <v>8</v>
      </c>
      <c r="K36" s="19">
        <f>'[1]А-4'!$H$37</f>
        <v>6</v>
      </c>
      <c r="L36" s="26">
        <f>'[1]А-4'!$Q$37</f>
        <v>0</v>
      </c>
      <c r="M36" s="26">
        <f>'[1]А-4'!$AC$37</f>
        <v>1</v>
      </c>
      <c r="N36" s="21">
        <f t="shared" si="10"/>
        <v>0</v>
      </c>
      <c r="O36" s="21">
        <f t="shared" si="11"/>
        <v>1.6666666666666667</v>
      </c>
      <c r="P36" s="26">
        <f t="shared" si="1"/>
        <v>0</v>
      </c>
      <c r="Q36" s="26">
        <f t="shared" si="12"/>
        <v>0.9</v>
      </c>
      <c r="R36" s="22">
        <f t="shared" si="13"/>
        <v>0</v>
      </c>
      <c r="S36" s="22">
        <f t="shared" si="14"/>
        <v>27</v>
      </c>
      <c r="T36" s="16">
        <f t="shared" si="15"/>
        <v>27</v>
      </c>
      <c r="U36" s="24">
        <f t="shared" si="18"/>
        <v>0</v>
      </c>
      <c r="V36" s="9">
        <v>0</v>
      </c>
      <c r="W36" s="24">
        <f t="shared" si="16"/>
        <v>0</v>
      </c>
      <c r="X36" s="48">
        <f t="shared" si="5"/>
        <v>0.5110724514393625</v>
      </c>
    </row>
    <row r="37" spans="1:24" ht="17.25" customHeight="1">
      <c r="A37" s="28">
        <f t="shared" si="17"/>
        <v>29</v>
      </c>
      <c r="B37" s="33" t="s">
        <v>95</v>
      </c>
      <c r="C37" s="34"/>
      <c r="D37" s="19">
        <f>'[1]А-4'!$F$40</f>
        <v>0</v>
      </c>
      <c r="E37" s="95">
        <f>'[1]Норматив и фактически 2017'!$F$42</f>
        <v>117.698</v>
      </c>
      <c r="F37" s="112">
        <f t="shared" si="6"/>
        <v>112.6183163812489</v>
      </c>
      <c r="G37" s="70">
        <f t="shared" si="7"/>
        <v>47.175812732105165</v>
      </c>
      <c r="H37" s="70">
        <f t="shared" si="8"/>
        <v>65.44250364914373</v>
      </c>
      <c r="I37" s="26">
        <f t="shared" si="9"/>
        <v>0</v>
      </c>
      <c r="J37" s="19">
        <f>'[1]А-4'!$G$40</f>
        <v>0</v>
      </c>
      <c r="K37" s="19">
        <f>'[1]А-4'!$H$40</f>
        <v>0</v>
      </c>
      <c r="L37" s="26">
        <f>'[1]А-4'!$Q$40</f>
        <v>0</v>
      </c>
      <c r="M37" s="26">
        <f>'[1]А-4'!$AC$40</f>
        <v>0</v>
      </c>
      <c r="N37" s="21"/>
      <c r="O37" s="21"/>
      <c r="P37" s="26">
        <f t="shared" si="1"/>
        <v>0</v>
      </c>
      <c r="Q37" s="26">
        <f t="shared" si="12"/>
        <v>0</v>
      </c>
      <c r="R37" s="22">
        <f t="shared" si="13"/>
        <v>0</v>
      </c>
      <c r="S37" s="22">
        <f t="shared" si="14"/>
        <v>0</v>
      </c>
      <c r="T37" s="16">
        <f t="shared" si="15"/>
        <v>0</v>
      </c>
      <c r="U37" s="24">
        <f t="shared" si="18"/>
        <v>0</v>
      </c>
      <c r="V37" s="9">
        <v>3</v>
      </c>
      <c r="W37" s="24">
        <f t="shared" si="16"/>
        <v>0</v>
      </c>
      <c r="X37" s="48">
        <f t="shared" si="5"/>
        <v>0</v>
      </c>
    </row>
    <row r="38" spans="1:24" ht="12.75">
      <c r="A38" s="28">
        <f t="shared" si="17"/>
        <v>30</v>
      </c>
      <c r="B38" s="38" t="s">
        <v>94</v>
      </c>
      <c r="C38" s="34"/>
      <c r="D38" s="19">
        <f>'[1]А-4'!$F$39</f>
        <v>0</v>
      </c>
      <c r="E38" s="95">
        <f>'[1]Норматив и фактически 2017'!$F$43</f>
        <v>282.278</v>
      </c>
      <c r="F38" s="112">
        <f t="shared" si="6"/>
        <v>270.09527019546795</v>
      </c>
      <c r="G38" s="70">
        <f t="shared" si="7"/>
        <v>113.14290868488152</v>
      </c>
      <c r="H38" s="70">
        <f t="shared" si="8"/>
        <v>156.9523615105864</v>
      </c>
      <c r="I38" s="26">
        <f t="shared" si="9"/>
        <v>0</v>
      </c>
      <c r="J38" s="19">
        <f>'[1]А-4'!$G$39</f>
        <v>0</v>
      </c>
      <c r="K38" s="19">
        <f>'[1]А-4'!$H$39</f>
        <v>0</v>
      </c>
      <c r="L38" s="26">
        <f>'[1]А-4'!$Q$39</f>
        <v>0</v>
      </c>
      <c r="M38" s="26">
        <f>'[1]А-4'!$AC$39</f>
        <v>0</v>
      </c>
      <c r="N38" s="21"/>
      <c r="O38" s="21"/>
      <c r="P38" s="26">
        <f t="shared" si="1"/>
        <v>0</v>
      </c>
      <c r="Q38" s="26">
        <f t="shared" si="12"/>
        <v>0</v>
      </c>
      <c r="R38" s="22">
        <f t="shared" si="13"/>
        <v>0</v>
      </c>
      <c r="S38" s="22">
        <f t="shared" si="14"/>
        <v>0</v>
      </c>
      <c r="T38" s="16">
        <f t="shared" si="15"/>
        <v>0</v>
      </c>
      <c r="U38" s="24">
        <f t="shared" si="18"/>
        <v>0</v>
      </c>
      <c r="V38" s="9">
        <v>3</v>
      </c>
      <c r="W38" s="24">
        <f t="shared" si="16"/>
        <v>0</v>
      </c>
      <c r="X38" s="48">
        <f t="shared" si="5"/>
        <v>0</v>
      </c>
    </row>
    <row r="39" spans="1:24" ht="12.75">
      <c r="A39" s="28">
        <f t="shared" si="17"/>
        <v>31</v>
      </c>
      <c r="B39" s="33" t="s">
        <v>28</v>
      </c>
      <c r="C39" s="34"/>
      <c r="D39" s="19">
        <f>'[1]А-4'!$F$41</f>
        <v>5</v>
      </c>
      <c r="E39" s="95">
        <f>'[1]Норматив и фактически 2017'!$F$44</f>
        <v>103</v>
      </c>
      <c r="F39" s="112">
        <f t="shared" si="6"/>
        <v>98.55466182321398</v>
      </c>
      <c r="G39" s="70">
        <f t="shared" si="7"/>
        <v>41.284547837744334</v>
      </c>
      <c r="H39" s="70">
        <f t="shared" si="8"/>
        <v>57.270113985469635</v>
      </c>
      <c r="I39" s="26">
        <f t="shared" si="9"/>
        <v>31.58</v>
      </c>
      <c r="J39" s="19">
        <f>'[1]А-4'!$G$41</f>
        <v>31.58</v>
      </c>
      <c r="K39" s="19">
        <f>'[1]А-4'!$H$41</f>
        <v>0</v>
      </c>
      <c r="L39" s="26">
        <f>'[1]А-4'!$Q$41</f>
        <v>10</v>
      </c>
      <c r="M39" s="26">
        <f>'[1]А-4'!$AC$41</f>
        <v>0</v>
      </c>
      <c r="N39" s="21">
        <f t="shared" si="10"/>
        <v>3.1665611146295127</v>
      </c>
      <c r="O39" s="21"/>
      <c r="P39" s="26">
        <f t="shared" si="1"/>
        <v>1.7</v>
      </c>
      <c r="Q39" s="26">
        <f t="shared" si="12"/>
        <v>0</v>
      </c>
      <c r="R39" s="22">
        <f t="shared" si="13"/>
        <v>70</v>
      </c>
      <c r="S39" s="22">
        <f t="shared" si="14"/>
        <v>0</v>
      </c>
      <c r="T39" s="16">
        <f t="shared" si="15"/>
        <v>70</v>
      </c>
      <c r="U39" s="24">
        <f t="shared" si="18"/>
        <v>2</v>
      </c>
      <c r="V39" s="7">
        <v>3</v>
      </c>
      <c r="W39" s="24">
        <f t="shared" si="16"/>
        <v>2</v>
      </c>
      <c r="X39" s="48">
        <f t="shared" si="5"/>
        <v>0.7102657419246697</v>
      </c>
    </row>
    <row r="40" spans="1:24" s="27" customFormat="1" ht="21.75" customHeight="1">
      <c r="A40" s="28">
        <f t="shared" si="17"/>
        <v>32</v>
      </c>
      <c r="B40" s="33" t="s">
        <v>126</v>
      </c>
      <c r="C40" s="34"/>
      <c r="D40" s="19">
        <f>'[1]А-4'!$F$47</f>
        <v>3</v>
      </c>
      <c r="E40" s="95">
        <f>'[1]Норматив и фактически 2017'!$F$45</f>
        <v>207</v>
      </c>
      <c r="F40" s="112">
        <f t="shared" si="6"/>
        <v>198.06616502335237</v>
      </c>
      <c r="G40" s="70">
        <f t="shared" si="7"/>
        <v>82.96991652828231</v>
      </c>
      <c r="H40" s="70">
        <f t="shared" si="8"/>
        <v>115.09624849507006</v>
      </c>
      <c r="I40" s="26">
        <f t="shared" si="9"/>
        <v>23.6</v>
      </c>
      <c r="J40" s="19">
        <f>'[1]А-4'!$G$47</f>
        <v>23.6</v>
      </c>
      <c r="K40" s="19">
        <f>'[1]А-4'!$HG$47</f>
        <v>0</v>
      </c>
      <c r="L40" s="26">
        <f>'[1]А-4'!$Q$47</f>
        <v>0</v>
      </c>
      <c r="M40" s="26">
        <f>'[1]А-4'!$AC$47</f>
        <v>0</v>
      </c>
      <c r="N40" s="21">
        <f t="shared" si="10"/>
        <v>0</v>
      </c>
      <c r="O40" s="21"/>
      <c r="P40" s="26">
        <f t="shared" si="1"/>
        <v>0</v>
      </c>
      <c r="Q40" s="26">
        <f t="shared" si="12"/>
        <v>0</v>
      </c>
      <c r="R40" s="22">
        <f t="shared" si="13"/>
        <v>0</v>
      </c>
      <c r="S40" s="22">
        <f t="shared" si="14"/>
        <v>0</v>
      </c>
      <c r="T40" s="16">
        <f t="shared" si="15"/>
        <v>0</v>
      </c>
      <c r="U40" s="24">
        <f t="shared" si="18"/>
        <v>0</v>
      </c>
      <c r="V40" s="7"/>
      <c r="W40" s="24">
        <f t="shared" si="16"/>
        <v>0</v>
      </c>
      <c r="X40" s="48">
        <f t="shared" si="5"/>
        <v>0</v>
      </c>
    </row>
    <row r="41" spans="1:24" s="27" customFormat="1" ht="21" customHeight="1">
      <c r="A41" s="28">
        <f t="shared" si="17"/>
        <v>33</v>
      </c>
      <c r="B41" s="42" t="s">
        <v>127</v>
      </c>
      <c r="C41" s="43"/>
      <c r="D41" s="19">
        <f>'[1]А-4'!$F$32</f>
        <v>3</v>
      </c>
      <c r="E41" s="95">
        <f>'[1]Норматив и фактически 2017'!$F$46</f>
        <v>317.5985</v>
      </c>
      <c r="F41" s="112">
        <f t="shared" si="6"/>
        <v>303.8913860491264</v>
      </c>
      <c r="G41" s="70">
        <f t="shared" si="7"/>
        <v>127.30010161597906</v>
      </c>
      <c r="H41" s="70">
        <f t="shared" si="8"/>
        <v>176.59128443314734</v>
      </c>
      <c r="I41" s="26">
        <f t="shared" si="9"/>
        <v>34</v>
      </c>
      <c r="J41" s="19">
        <f>'[1]А-4'!$G$32</f>
        <v>34</v>
      </c>
      <c r="K41" s="19">
        <f>'[1]А-4'!$H$32</f>
        <v>0</v>
      </c>
      <c r="L41" s="26">
        <f>'[1]А-4'!$Q$32</f>
        <v>2</v>
      </c>
      <c r="M41" s="26">
        <f>'[1]А-4'!$AC$32</f>
        <v>0</v>
      </c>
      <c r="N41" s="21">
        <f t="shared" si="10"/>
        <v>0.5882352941176471</v>
      </c>
      <c r="O41" s="21"/>
      <c r="P41" s="26">
        <f t="shared" si="1"/>
        <v>0.3</v>
      </c>
      <c r="Q41" s="26">
        <f t="shared" si="12"/>
        <v>0</v>
      </c>
      <c r="R41" s="22">
        <f t="shared" si="13"/>
        <v>38</v>
      </c>
      <c r="S41" s="22">
        <f t="shared" si="14"/>
        <v>0</v>
      </c>
      <c r="T41" s="16">
        <f t="shared" si="15"/>
        <v>38</v>
      </c>
      <c r="U41" s="24">
        <f t="shared" si="18"/>
        <v>1</v>
      </c>
      <c r="V41" s="7"/>
      <c r="W41" s="24">
        <v>1</v>
      </c>
      <c r="X41" s="48">
        <f t="shared" si="5"/>
        <v>0.125044676303714</v>
      </c>
    </row>
    <row r="42" spans="1:24" s="27" customFormat="1" ht="12.75">
      <c r="A42" s="28">
        <f t="shared" si="17"/>
        <v>34</v>
      </c>
      <c r="B42" s="33" t="s">
        <v>52</v>
      </c>
      <c r="C42" s="34"/>
      <c r="D42" s="19">
        <f>'[1]А-4'!$F$45</f>
        <v>3</v>
      </c>
      <c r="E42" s="95">
        <f>'[1]Норматив и фактически 2017'!$F$47</f>
        <v>166.5</v>
      </c>
      <c r="F42" s="112">
        <f t="shared" si="6"/>
        <v>159.31408925791385</v>
      </c>
      <c r="G42" s="70">
        <f t="shared" si="7"/>
        <v>66.73667199014011</v>
      </c>
      <c r="H42" s="70">
        <f t="shared" si="8"/>
        <v>92.57741726777373</v>
      </c>
      <c r="I42" s="26">
        <f t="shared" si="9"/>
        <v>31.199999999999996</v>
      </c>
      <c r="J42" s="19">
        <f>'[1]А-4'!$G$45</f>
        <v>16.9</v>
      </c>
      <c r="K42" s="19">
        <f>'[1]А-4'!$H$45</f>
        <v>14.299999999999999</v>
      </c>
      <c r="L42" s="26">
        <f>'[1]А-4'!$Q$45</f>
        <v>1</v>
      </c>
      <c r="M42" s="26">
        <f>'[1]А-4'!$AC$45</f>
        <v>0</v>
      </c>
      <c r="N42" s="21">
        <f t="shared" si="10"/>
        <v>0.591715976331361</v>
      </c>
      <c r="O42" s="21">
        <f t="shared" si="11"/>
        <v>0</v>
      </c>
      <c r="P42" s="26">
        <f t="shared" si="1"/>
        <v>0.3</v>
      </c>
      <c r="Q42" s="26">
        <f t="shared" si="12"/>
        <v>0</v>
      </c>
      <c r="R42" s="22">
        <f t="shared" si="13"/>
        <v>20</v>
      </c>
      <c r="S42" s="22">
        <f t="shared" si="14"/>
        <v>0</v>
      </c>
      <c r="T42" s="16">
        <f t="shared" si="15"/>
        <v>20</v>
      </c>
      <c r="U42" s="24">
        <f t="shared" si="18"/>
        <v>0</v>
      </c>
      <c r="V42" s="7"/>
      <c r="W42" s="24">
        <f t="shared" si="16"/>
        <v>0</v>
      </c>
      <c r="X42" s="48">
        <f t="shared" si="5"/>
        <v>0.12553817489187644</v>
      </c>
    </row>
    <row r="43" spans="1:24" s="27" customFormat="1" ht="12.75">
      <c r="A43" s="28">
        <f t="shared" si="17"/>
        <v>35</v>
      </c>
      <c r="B43" s="33" t="s">
        <v>62</v>
      </c>
      <c r="C43" s="34"/>
      <c r="D43" s="19">
        <f>'[1]А-4'!$F$51</f>
        <v>1</v>
      </c>
      <c r="E43" s="95">
        <f>'[1]Норматив и фактически 2017'!$F$48</f>
        <v>11.59</v>
      </c>
      <c r="F43" s="112">
        <f t="shared" si="6"/>
        <v>11.089791558553882</v>
      </c>
      <c r="G43" s="70">
        <f t="shared" si="7"/>
        <v>4.645513683878221</v>
      </c>
      <c r="H43" s="70">
        <f t="shared" si="8"/>
        <v>6.44427787467566</v>
      </c>
      <c r="I43" s="26">
        <f t="shared" si="9"/>
        <v>9.9</v>
      </c>
      <c r="J43" s="19">
        <f>'[1]А-4'!$G$51</f>
        <v>0</v>
      </c>
      <c r="K43" s="19">
        <f>'[1]А-4'!$H$51</f>
        <v>9.9</v>
      </c>
      <c r="L43" s="26">
        <f>'[1]А-4'!$Q$51</f>
        <v>0</v>
      </c>
      <c r="M43" s="26">
        <f>'[1]А-4'!$AC$51</f>
        <v>0</v>
      </c>
      <c r="N43" s="21"/>
      <c r="O43" s="21">
        <f t="shared" si="11"/>
        <v>0</v>
      </c>
      <c r="P43" s="26">
        <f t="shared" si="1"/>
        <v>0</v>
      </c>
      <c r="Q43" s="26">
        <f t="shared" si="12"/>
        <v>0</v>
      </c>
      <c r="R43" s="22">
        <f t="shared" si="13"/>
        <v>0</v>
      </c>
      <c r="S43" s="22">
        <f t="shared" si="14"/>
        <v>0</v>
      </c>
      <c r="T43" s="16">
        <f t="shared" si="15"/>
        <v>0</v>
      </c>
      <c r="U43" s="24">
        <f t="shared" si="18"/>
        <v>0</v>
      </c>
      <c r="V43" s="7">
        <v>0</v>
      </c>
      <c r="W43" s="24">
        <f t="shared" si="16"/>
        <v>0</v>
      </c>
      <c r="X43" s="48">
        <f t="shared" si="5"/>
        <v>0</v>
      </c>
    </row>
    <row r="44" spans="1:24" s="27" customFormat="1" ht="12.75">
      <c r="A44" s="28">
        <f t="shared" si="17"/>
        <v>36</v>
      </c>
      <c r="B44" s="123" t="s">
        <v>35</v>
      </c>
      <c r="C44" s="124"/>
      <c r="D44" s="125">
        <f>'[1]А-4'!$F$48</f>
        <v>3</v>
      </c>
      <c r="E44" s="134">
        <f>'[1]Норматив и фактически 2017'!$F$49</f>
        <v>252.3</v>
      </c>
      <c r="F44" s="127">
        <f t="shared" si="6"/>
        <v>241.41107939802802</v>
      </c>
      <c r="G44" s="128">
        <f t="shared" si="7"/>
        <v>101.12710115983394</v>
      </c>
      <c r="H44" s="128">
        <f t="shared" si="8"/>
        <v>140.28397823819407</v>
      </c>
      <c r="I44" s="129">
        <f t="shared" si="9"/>
        <v>35.7</v>
      </c>
      <c r="J44" s="125">
        <f>'[1]А-4'!$G$48</f>
        <v>10.2</v>
      </c>
      <c r="K44" s="125">
        <f>'[1]А-4'!$H$48</f>
        <v>25.5</v>
      </c>
      <c r="L44" s="129">
        <f>'[1]А-4'!$Q$48</f>
        <v>2</v>
      </c>
      <c r="M44" s="129">
        <f>'[1]А-4'!$AC$48</f>
        <v>8</v>
      </c>
      <c r="N44" s="130">
        <f t="shared" si="10"/>
        <v>1.9607843137254903</v>
      </c>
      <c r="O44" s="130">
        <f t="shared" si="11"/>
        <v>3.1372549019607843</v>
      </c>
      <c r="P44" s="129">
        <f t="shared" si="1"/>
        <v>1.1</v>
      </c>
      <c r="Q44" s="129">
        <f t="shared" si="12"/>
        <v>1.7</v>
      </c>
      <c r="R44" s="131">
        <f t="shared" si="13"/>
        <v>111</v>
      </c>
      <c r="S44" s="131">
        <f t="shared" si="14"/>
        <v>238</v>
      </c>
      <c r="T44" s="131">
        <f t="shared" si="15"/>
        <v>349</v>
      </c>
      <c r="U44" s="132">
        <v>0</v>
      </c>
      <c r="V44" s="133"/>
      <c r="W44" s="132">
        <f t="shared" si="16"/>
        <v>0</v>
      </c>
      <c r="X44" s="48">
        <f t="shared" si="5"/>
        <v>1.445666871919263</v>
      </c>
    </row>
    <row r="45" spans="1:24" ht="12.75" customHeight="1">
      <c r="A45" s="28">
        <f t="shared" si="17"/>
        <v>37</v>
      </c>
      <c r="B45" s="89" t="s">
        <v>130</v>
      </c>
      <c r="C45" s="97"/>
      <c r="D45" s="19">
        <f>'[1]А-4'!$F$36</f>
        <v>0</v>
      </c>
      <c r="E45" s="95">
        <f>'[1]Норматив и фактически 2017'!$F$50</f>
        <v>209.208</v>
      </c>
      <c r="F45" s="112">
        <f t="shared" si="6"/>
        <v>200.17887078360144</v>
      </c>
      <c r="G45" s="70">
        <f t="shared" si="7"/>
        <v>83.85492897125064</v>
      </c>
      <c r="H45" s="70">
        <f t="shared" si="8"/>
        <v>116.32394181235078</v>
      </c>
      <c r="I45" s="26">
        <f t="shared" si="9"/>
        <v>0</v>
      </c>
      <c r="J45" s="19">
        <f>'[1]А-4'!$G$36</f>
        <v>0</v>
      </c>
      <c r="K45" s="19">
        <f>'[1]А-4'!$H$36</f>
        <v>0</v>
      </c>
      <c r="L45" s="26">
        <f>'[1]А-4'!$Q$36</f>
        <v>0</v>
      </c>
      <c r="M45" s="26">
        <f>'[1]А-4'!$AC$36</f>
        <v>0</v>
      </c>
      <c r="N45" s="21"/>
      <c r="O45" s="21"/>
      <c r="P45" s="26">
        <f t="shared" si="1"/>
        <v>0</v>
      </c>
      <c r="Q45" s="26">
        <f t="shared" si="12"/>
        <v>0</v>
      </c>
      <c r="R45" s="22">
        <f t="shared" si="13"/>
        <v>0</v>
      </c>
      <c r="S45" s="22">
        <f t="shared" si="14"/>
        <v>0</v>
      </c>
      <c r="T45" s="16">
        <f t="shared" si="15"/>
        <v>0</v>
      </c>
      <c r="U45" s="24">
        <f t="shared" si="18"/>
        <v>0</v>
      </c>
      <c r="V45" s="9"/>
      <c r="W45" s="24">
        <f t="shared" si="16"/>
        <v>0</v>
      </c>
      <c r="X45" s="48">
        <f t="shared" si="5"/>
        <v>0</v>
      </c>
    </row>
    <row r="46" spans="1:24" ht="12.75" customHeight="1">
      <c r="A46" s="28">
        <f t="shared" si="17"/>
        <v>38</v>
      </c>
      <c r="B46" s="206" t="s">
        <v>129</v>
      </c>
      <c r="C46" s="207"/>
      <c r="D46" s="19">
        <f>'[1]А-4'!$F$31</f>
        <v>4</v>
      </c>
      <c r="E46" s="95">
        <f>'[1]Норматив и фактически 2017'!$F$51</f>
        <v>544.149</v>
      </c>
      <c r="F46" s="112">
        <f t="shared" si="6"/>
        <v>520.6642784120394</v>
      </c>
      <c r="G46" s="70">
        <f t="shared" si="7"/>
        <v>218.10626622680329</v>
      </c>
      <c r="H46" s="70">
        <f t="shared" si="8"/>
        <v>302.55801218523607</v>
      </c>
      <c r="I46" s="26">
        <f t="shared" si="9"/>
        <v>44.9</v>
      </c>
      <c r="J46" s="19">
        <f>'[1]А-4'!$G$31</f>
        <v>24.3</v>
      </c>
      <c r="K46" s="19">
        <f>'[1]А-4'!$H$31</f>
        <v>20.599999999999998</v>
      </c>
      <c r="L46" s="26">
        <f>'[1]А-4'!$Q$31</f>
        <v>0</v>
      </c>
      <c r="M46" s="26">
        <f>'[1]А-4'!$AC$31</f>
        <v>8</v>
      </c>
      <c r="N46" s="21">
        <f t="shared" si="10"/>
        <v>0</v>
      </c>
      <c r="O46" s="21">
        <f t="shared" si="11"/>
        <v>3.8834951456310685</v>
      </c>
      <c r="P46" s="26">
        <f t="shared" si="1"/>
        <v>0</v>
      </c>
      <c r="Q46" s="26">
        <f t="shared" si="12"/>
        <v>2.1</v>
      </c>
      <c r="R46" s="22">
        <f t="shared" si="13"/>
        <v>0</v>
      </c>
      <c r="S46" s="22">
        <f t="shared" si="14"/>
        <v>635</v>
      </c>
      <c r="T46" s="16">
        <f t="shared" si="15"/>
        <v>635</v>
      </c>
      <c r="U46" s="24">
        <f>ROUNDDOWN(IF(T46&lt;$O$3,"0",T46*5/100),0)</f>
        <v>31</v>
      </c>
      <c r="V46" s="9"/>
      <c r="W46" s="24">
        <v>31</v>
      </c>
      <c r="X46" s="48">
        <f t="shared" si="5"/>
        <v>1.2195958630706722</v>
      </c>
    </row>
    <row r="47" spans="1:24" ht="12.75" customHeight="1">
      <c r="A47" s="28">
        <f t="shared" si="17"/>
        <v>39</v>
      </c>
      <c r="B47" s="206" t="s">
        <v>131</v>
      </c>
      <c r="C47" s="207"/>
      <c r="D47" s="19">
        <f>'[1]А-4'!$F$33</f>
        <v>2</v>
      </c>
      <c r="E47" s="95">
        <f>'[1]Норматив и фактически 2017'!$F$52</f>
        <v>173.413</v>
      </c>
      <c r="F47" s="112">
        <f t="shared" si="6"/>
        <v>165.9287336965923</v>
      </c>
      <c r="G47" s="70">
        <f t="shared" si="7"/>
        <v>69.50754654550252</v>
      </c>
      <c r="H47" s="70">
        <f t="shared" si="8"/>
        <v>96.42118715108978</v>
      </c>
      <c r="I47" s="26">
        <f t="shared" si="9"/>
        <v>20.9</v>
      </c>
      <c r="J47" s="19">
        <f>'[1]А-4'!$G$33</f>
        <v>20.9</v>
      </c>
      <c r="K47" s="19">
        <f>'[1]А-4'!$H$33</f>
        <v>0</v>
      </c>
      <c r="L47" s="26">
        <f>'[1]А-4'!$Q$33</f>
        <v>3</v>
      </c>
      <c r="M47" s="26">
        <f>'[1]А-4'!$AC$33</f>
        <v>0</v>
      </c>
      <c r="N47" s="21">
        <f t="shared" si="10"/>
        <v>1.4354066985645935</v>
      </c>
      <c r="O47" s="21"/>
      <c r="P47" s="26">
        <f t="shared" si="1"/>
        <v>0.8</v>
      </c>
      <c r="Q47" s="26">
        <f t="shared" si="12"/>
        <v>0</v>
      </c>
      <c r="R47" s="22">
        <f t="shared" si="13"/>
        <v>55</v>
      </c>
      <c r="S47" s="22">
        <f t="shared" si="14"/>
        <v>0</v>
      </c>
      <c r="T47" s="16">
        <f t="shared" si="15"/>
        <v>55</v>
      </c>
      <c r="U47" s="24">
        <f t="shared" si="18"/>
        <v>1</v>
      </c>
      <c r="V47" s="9">
        <v>0</v>
      </c>
      <c r="W47" s="24">
        <f t="shared" si="16"/>
        <v>0</v>
      </c>
      <c r="X47" s="48">
        <f t="shared" si="5"/>
        <v>0.33146760524653807</v>
      </c>
    </row>
    <row r="48" spans="1:23" ht="12.75" customHeight="1">
      <c r="A48" s="28">
        <f t="shared" si="17"/>
        <v>40</v>
      </c>
      <c r="B48" s="217"/>
      <c r="C48" s="218"/>
      <c r="D48" s="9"/>
      <c r="E48" s="9"/>
      <c r="F48" s="10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9"/>
      <c r="U48" s="9"/>
      <c r="V48" s="9"/>
      <c r="W48" s="9"/>
    </row>
    <row r="49" spans="1:24" ht="12.75" customHeight="1">
      <c r="A49" s="28">
        <f t="shared" si="17"/>
        <v>41</v>
      </c>
      <c r="B49" s="89"/>
      <c r="C49" s="91"/>
      <c r="D49" s="19"/>
      <c r="E49" s="92"/>
      <c r="F49" s="112"/>
      <c r="G49" s="70"/>
      <c r="H49" s="70"/>
      <c r="I49" s="26"/>
      <c r="J49" s="19"/>
      <c r="K49" s="19"/>
      <c r="L49" s="26"/>
      <c r="M49" s="26"/>
      <c r="N49" s="21"/>
      <c r="O49" s="21"/>
      <c r="P49" s="26"/>
      <c r="Q49" s="26"/>
      <c r="R49" s="22"/>
      <c r="S49" s="22"/>
      <c r="T49" s="16"/>
      <c r="U49" s="24"/>
      <c r="V49" s="9"/>
      <c r="W49" s="24"/>
      <c r="X49" s="48"/>
    </row>
    <row r="50" spans="1:24" ht="12.75" customHeight="1">
      <c r="A50" s="28">
        <f t="shared" si="17"/>
        <v>42</v>
      </c>
      <c r="B50" s="89"/>
      <c r="C50" s="91"/>
      <c r="D50" s="19"/>
      <c r="E50" s="92"/>
      <c r="F50" s="112"/>
      <c r="G50" s="70"/>
      <c r="H50" s="70"/>
      <c r="I50" s="26"/>
      <c r="J50" s="19"/>
      <c r="K50" s="19"/>
      <c r="L50" s="26"/>
      <c r="M50" s="26"/>
      <c r="N50" s="21"/>
      <c r="O50" s="21"/>
      <c r="P50" s="26"/>
      <c r="Q50" s="26"/>
      <c r="R50" s="22"/>
      <c r="S50" s="22"/>
      <c r="T50" s="16"/>
      <c r="U50" s="24"/>
      <c r="V50" s="9"/>
      <c r="W50" s="24"/>
      <c r="X50" s="48"/>
    </row>
    <row r="51" spans="1:24" ht="12.75" customHeight="1">
      <c r="A51" s="28">
        <f t="shared" si="17"/>
        <v>43</v>
      </c>
      <c r="B51" s="89"/>
      <c r="C51" s="91"/>
      <c r="D51" s="19"/>
      <c r="E51" s="92"/>
      <c r="F51" s="112"/>
      <c r="G51" s="70"/>
      <c r="H51" s="70"/>
      <c r="I51" s="26"/>
      <c r="J51" s="19"/>
      <c r="K51" s="19"/>
      <c r="L51" s="26"/>
      <c r="M51" s="26"/>
      <c r="N51" s="21"/>
      <c r="O51" s="21"/>
      <c r="P51" s="26"/>
      <c r="Q51" s="26"/>
      <c r="R51" s="22"/>
      <c r="S51" s="22"/>
      <c r="T51" s="16"/>
      <c r="U51" s="24"/>
      <c r="V51" s="9"/>
      <c r="W51" s="24"/>
      <c r="X51" s="48"/>
    </row>
    <row r="52" spans="1:24" ht="12.75" customHeight="1">
      <c r="A52" s="28">
        <f t="shared" si="17"/>
        <v>44</v>
      </c>
      <c r="B52" s="89"/>
      <c r="C52" s="91"/>
      <c r="D52" s="19"/>
      <c r="E52" s="92"/>
      <c r="F52" s="112"/>
      <c r="G52" s="70"/>
      <c r="H52" s="70"/>
      <c r="I52" s="26"/>
      <c r="J52" s="19"/>
      <c r="K52" s="19"/>
      <c r="L52" s="26"/>
      <c r="M52" s="26"/>
      <c r="N52" s="21"/>
      <c r="O52" s="21"/>
      <c r="P52" s="26"/>
      <c r="Q52" s="26"/>
      <c r="R52" s="22"/>
      <c r="S52" s="22"/>
      <c r="T52" s="16"/>
      <c r="U52" s="24"/>
      <c r="V52" s="9"/>
      <c r="W52" s="24"/>
      <c r="X52" s="48"/>
    </row>
    <row r="53" spans="1:24" ht="12.75" customHeight="1">
      <c r="A53" s="28">
        <f t="shared" si="17"/>
        <v>45</v>
      </c>
      <c r="B53" s="89"/>
      <c r="C53" s="91"/>
      <c r="D53" s="19"/>
      <c r="E53" s="92"/>
      <c r="F53" s="112"/>
      <c r="G53" s="70"/>
      <c r="H53" s="70"/>
      <c r="I53" s="26"/>
      <c r="J53" s="19"/>
      <c r="K53" s="19"/>
      <c r="L53" s="26"/>
      <c r="M53" s="26"/>
      <c r="N53" s="21"/>
      <c r="O53" s="21"/>
      <c r="P53" s="26"/>
      <c r="Q53" s="26"/>
      <c r="R53" s="22"/>
      <c r="S53" s="22"/>
      <c r="T53" s="16"/>
      <c r="U53" s="24"/>
      <c r="V53" s="9"/>
      <c r="W53" s="24"/>
      <c r="X53" s="48"/>
    </row>
    <row r="54" spans="1:30" ht="27.75" customHeight="1">
      <c r="A54" s="9"/>
      <c r="B54" s="210" t="s">
        <v>88</v>
      </c>
      <c r="C54" s="178"/>
      <c r="D54" s="78">
        <f aca="true" t="shared" si="19" ref="D54:M54">SUM(D55:D65)</f>
        <v>72</v>
      </c>
      <c r="E54" s="74">
        <f t="shared" si="19"/>
        <v>6034.835000000001</v>
      </c>
      <c r="F54" s="74">
        <f t="shared" si="19"/>
        <v>3890.0276445787</v>
      </c>
      <c r="G54" s="78">
        <f t="shared" si="19"/>
        <v>3216.6638593021266</v>
      </c>
      <c r="H54" s="78">
        <f t="shared" si="19"/>
        <v>673.3637852765729</v>
      </c>
      <c r="I54" s="78">
        <f t="shared" si="19"/>
        <v>790.51</v>
      </c>
      <c r="J54" s="78">
        <f t="shared" si="19"/>
        <v>724.0999999999999</v>
      </c>
      <c r="K54" s="76">
        <f t="shared" si="19"/>
        <v>66.41</v>
      </c>
      <c r="L54" s="76">
        <f t="shared" si="19"/>
        <v>109</v>
      </c>
      <c r="M54" s="78">
        <f t="shared" si="19"/>
        <v>10</v>
      </c>
      <c r="N54" s="74">
        <f>ROUND(L54/J54*10,2)</f>
        <v>1.51</v>
      </c>
      <c r="O54" s="74">
        <f>ROUND(M54/K54*10,3)</f>
        <v>1.506</v>
      </c>
      <c r="P54" s="76">
        <f>ROUND(N54*$M$5,1)</f>
        <v>0.8</v>
      </c>
      <c r="Q54" s="76">
        <f>ROUND(O54*$M$5,1)</f>
        <v>0.8</v>
      </c>
      <c r="R54" s="78">
        <f aca="true" t="shared" si="20" ref="R54:W54">SUM(R55:R65)</f>
        <v>2852</v>
      </c>
      <c r="S54" s="78">
        <f t="shared" si="20"/>
        <v>321</v>
      </c>
      <c r="T54" s="78">
        <f t="shared" si="20"/>
        <v>3173</v>
      </c>
      <c r="U54" s="78">
        <f t="shared" si="20"/>
        <v>161</v>
      </c>
      <c r="V54" s="78">
        <f t="shared" si="20"/>
        <v>50</v>
      </c>
      <c r="W54" s="78">
        <f t="shared" si="20"/>
        <v>48</v>
      </c>
      <c r="X54" s="48">
        <f aca="true" t="shared" si="21" ref="X54:X62">T54/F54</f>
        <v>0.8156754372740824</v>
      </c>
      <c r="Y54">
        <v>0.644595526568448</v>
      </c>
      <c r="AB54">
        <v>2411</v>
      </c>
      <c r="AD54" s="20">
        <f>T54-AB54</f>
        <v>762</v>
      </c>
    </row>
    <row r="55" spans="1:24" ht="12.75">
      <c r="A55" s="28">
        <v>46</v>
      </c>
      <c r="B55" s="80" t="s">
        <v>38</v>
      </c>
      <c r="C55" s="81"/>
      <c r="D55" s="18">
        <f>'[1]А-4'!$F$60</f>
        <v>0</v>
      </c>
      <c r="E55" s="92">
        <f>'[1]Норматив и фактически 2017'!$F$60</f>
        <v>45.173</v>
      </c>
      <c r="F55" s="112">
        <f aca="true" t="shared" si="22" ref="F55:F65">E55*$Y$54</f>
        <v>29.1183137216765</v>
      </c>
      <c r="G55" s="70">
        <f aca="true" t="shared" si="23" ref="G55:G65">F55*0.8269</f>
        <v>24.0779336164543</v>
      </c>
      <c r="H55" s="70">
        <f aca="true" t="shared" si="24" ref="H55:H65">F55*0.1731</f>
        <v>5.040380105222202</v>
      </c>
      <c r="I55" s="26">
        <f aca="true" t="shared" si="25" ref="I55:I65">J55+K55</f>
        <v>0</v>
      </c>
      <c r="J55" s="19">
        <f>'[1]А-4'!G60</f>
        <v>0</v>
      </c>
      <c r="K55" s="26">
        <v>0</v>
      </c>
      <c r="L55" s="26">
        <f>'[1]А-4'!$Q$60</f>
        <v>0</v>
      </c>
      <c r="M55" s="26">
        <f>'[1]А-4'!$AC$60</f>
        <v>0</v>
      </c>
      <c r="N55" s="21"/>
      <c r="O55" s="21">
        <v>0</v>
      </c>
      <c r="P55" s="26"/>
      <c r="Q55" s="21">
        <f>ROUND(O55*$M$5,2)</f>
        <v>0</v>
      </c>
      <c r="R55" s="22">
        <f aca="true" t="shared" si="26" ref="R55:R65">ROUNDDOWN((P55*G55),0)</f>
        <v>0</v>
      </c>
      <c r="S55" s="22">
        <f aca="true" t="shared" si="27" ref="S55:S65">ROUNDDOWN((Q55*H55),0)</f>
        <v>0</v>
      </c>
      <c r="T55" s="16">
        <f aca="true" t="shared" si="28" ref="T55:T65">R55+S55</f>
        <v>0</v>
      </c>
      <c r="U55" s="24">
        <f>ROUNDDOWN(IF(T55&lt;$O$3,"0",T55*3/100),0)</f>
        <v>0</v>
      </c>
      <c r="V55" s="9">
        <v>0</v>
      </c>
      <c r="W55" s="24">
        <v>0</v>
      </c>
      <c r="X55" s="48">
        <f t="shared" si="21"/>
        <v>0</v>
      </c>
    </row>
    <row r="56" spans="1:28" ht="12.75">
      <c r="A56" s="28">
        <v>47</v>
      </c>
      <c r="B56" s="8" t="s">
        <v>16</v>
      </c>
      <c r="C56" s="9"/>
      <c r="D56" s="18">
        <f>'[1]А-4'!$F$61</f>
        <v>4</v>
      </c>
      <c r="E56" s="92">
        <f>'[1]Норматив и фактически 2017'!$F$61</f>
        <v>309.7</v>
      </c>
      <c r="F56" s="112">
        <f t="shared" si="22"/>
        <v>199.63123457824832</v>
      </c>
      <c r="G56" s="70">
        <f t="shared" si="23"/>
        <v>165.07506787275352</v>
      </c>
      <c r="H56" s="70">
        <f t="shared" si="24"/>
        <v>34.55616670549479</v>
      </c>
      <c r="I56" s="26">
        <f t="shared" si="25"/>
        <v>44.11</v>
      </c>
      <c r="J56" s="19">
        <f>'[1]А-4'!G61</f>
        <v>24.1</v>
      </c>
      <c r="K56" s="26">
        <f>'[1]А-4'!$H$61</f>
        <v>20.01</v>
      </c>
      <c r="L56" s="26">
        <f>'[1]А-4'!$Q$61</f>
        <v>10</v>
      </c>
      <c r="M56" s="26">
        <f>'[1]А-4'!$AC$61</f>
        <v>4</v>
      </c>
      <c r="N56" s="21">
        <f aca="true" t="shared" si="29" ref="N56:N65">L56*10/J56</f>
        <v>4.149377593360995</v>
      </c>
      <c r="O56" s="21">
        <f aca="true" t="shared" si="30" ref="O56:O65">ROUND(M56/K56*10,3)</f>
        <v>1.999</v>
      </c>
      <c r="P56" s="26">
        <f aca="true" t="shared" si="31" ref="P56:P65">ROUND(N56*$M$5,1)</f>
        <v>2.2</v>
      </c>
      <c r="Q56" s="26">
        <f aca="true" t="shared" si="32" ref="Q56:Q65">ROUND(O56*$M$5,1)</f>
        <v>1.1</v>
      </c>
      <c r="R56" s="22">
        <f t="shared" si="26"/>
        <v>363</v>
      </c>
      <c r="S56" s="22">
        <f t="shared" si="27"/>
        <v>38</v>
      </c>
      <c r="T56" s="16">
        <f t="shared" si="28"/>
        <v>401</v>
      </c>
      <c r="U56" s="24">
        <f>ROUNDDOWN(IF(T56&lt;$O$3,"0",T56*7/100),0)</f>
        <v>28</v>
      </c>
      <c r="V56" s="9">
        <v>2</v>
      </c>
      <c r="W56" s="24">
        <f>IF(V56&lt;=U56,V56,U56)</f>
        <v>2</v>
      </c>
      <c r="X56" s="48">
        <f t="shared" si="21"/>
        <v>2.0087037023398375</v>
      </c>
      <c r="AB56" s="49"/>
    </row>
    <row r="57" spans="1:24" ht="12.75">
      <c r="A57" s="28">
        <v>48</v>
      </c>
      <c r="B57" s="35" t="s">
        <v>66</v>
      </c>
      <c r="C57" s="35"/>
      <c r="D57" s="18">
        <f>'[1]А-4'!$F$63</f>
        <v>2</v>
      </c>
      <c r="E57" s="92">
        <f>'[1]Норматив и фактически 2017'!$F$62</f>
        <v>246.336</v>
      </c>
      <c r="F57" s="112">
        <f t="shared" si="22"/>
        <v>158.78708363276522</v>
      </c>
      <c r="G57" s="70">
        <f t="shared" si="23"/>
        <v>131.30103945593356</v>
      </c>
      <c r="H57" s="70">
        <f t="shared" si="24"/>
        <v>27.48604417683166</v>
      </c>
      <c r="I57" s="26">
        <f t="shared" si="25"/>
        <v>28.6</v>
      </c>
      <c r="J57" s="19">
        <f>'[1]А-4'!G63</f>
        <v>25.700000000000003</v>
      </c>
      <c r="K57" s="26">
        <f>'[1]А-4'!$H$63</f>
        <v>2.9</v>
      </c>
      <c r="L57" s="26">
        <f>'[1]А-4'!$Q$63</f>
        <v>0</v>
      </c>
      <c r="M57" s="26">
        <f>'[1]А-4'!$AC$63</f>
        <v>0</v>
      </c>
      <c r="N57" s="21">
        <f t="shared" si="29"/>
        <v>0</v>
      </c>
      <c r="O57" s="21">
        <f t="shared" si="30"/>
        <v>0</v>
      </c>
      <c r="P57" s="26">
        <f t="shared" si="31"/>
        <v>0</v>
      </c>
      <c r="Q57" s="26">
        <f t="shared" si="32"/>
        <v>0</v>
      </c>
      <c r="R57" s="22">
        <f t="shared" si="26"/>
        <v>0</v>
      </c>
      <c r="S57" s="22">
        <f t="shared" si="27"/>
        <v>0</v>
      </c>
      <c r="T57" s="16">
        <f t="shared" si="28"/>
        <v>0</v>
      </c>
      <c r="U57" s="24">
        <f>ROUNDDOWN(IF(T57&lt;$O$3,"0",T57*3/100),0)</f>
        <v>0</v>
      </c>
      <c r="V57" s="9">
        <v>2</v>
      </c>
      <c r="W57" s="24">
        <f aca="true" t="shared" si="33" ref="W57:W64">IF(V57&lt;=U57,V57,U57)</f>
        <v>0</v>
      </c>
      <c r="X57" s="48">
        <f t="shared" si="21"/>
        <v>0</v>
      </c>
    </row>
    <row r="58" spans="1:24" ht="12.75">
      <c r="A58" s="28">
        <v>49</v>
      </c>
      <c r="B58" s="35" t="s">
        <v>67</v>
      </c>
      <c r="C58" s="35"/>
      <c r="D58" s="18">
        <f>'[1]А-4'!$F$64</f>
        <v>16</v>
      </c>
      <c r="E58" s="92">
        <f>'[1]Норматив и фактически 2017'!$F$63</f>
        <v>1221.2</v>
      </c>
      <c r="F58" s="112">
        <f t="shared" si="22"/>
        <v>787.1800570453887</v>
      </c>
      <c r="G58" s="70">
        <f t="shared" si="23"/>
        <v>650.9191891708319</v>
      </c>
      <c r="H58" s="70">
        <f t="shared" si="24"/>
        <v>136.2608678745568</v>
      </c>
      <c r="I58" s="26">
        <f t="shared" si="25"/>
        <v>164.60000000000002</v>
      </c>
      <c r="J58" s="19">
        <f>'[1]А-4'!G64</f>
        <v>150.8</v>
      </c>
      <c r="K58" s="26">
        <f>'[1]А-4'!$H$64</f>
        <v>13.799999999999999</v>
      </c>
      <c r="L58" s="26">
        <f>'[1]А-4'!$Q$64</f>
        <v>21</v>
      </c>
      <c r="M58" s="26">
        <f>'[1]А-4'!$AC$64</f>
        <v>2</v>
      </c>
      <c r="N58" s="21">
        <f t="shared" si="29"/>
        <v>1.3925729442970822</v>
      </c>
      <c r="O58" s="21">
        <f t="shared" si="30"/>
        <v>1.449</v>
      </c>
      <c r="P58" s="26">
        <f t="shared" si="31"/>
        <v>0.8</v>
      </c>
      <c r="Q58" s="26">
        <f t="shared" si="32"/>
        <v>0.8</v>
      </c>
      <c r="R58" s="22">
        <f t="shared" si="26"/>
        <v>520</v>
      </c>
      <c r="S58" s="22">
        <f t="shared" si="27"/>
        <v>109</v>
      </c>
      <c r="T58" s="16">
        <f t="shared" si="28"/>
        <v>629</v>
      </c>
      <c r="U58" s="24">
        <f>ROUNDDOWN(IF(T58&lt;$O$3,"0",T58*3/100),0)</f>
        <v>18</v>
      </c>
      <c r="V58" s="9">
        <v>20</v>
      </c>
      <c r="W58" s="24">
        <f t="shared" si="33"/>
        <v>18</v>
      </c>
      <c r="X58" s="48">
        <f t="shared" si="21"/>
        <v>0.7990547961299939</v>
      </c>
    </row>
    <row r="59" spans="1:24" s="27" customFormat="1" ht="12.75">
      <c r="A59" s="28">
        <v>50</v>
      </c>
      <c r="B59" s="39" t="s">
        <v>30</v>
      </c>
      <c r="C59" s="39"/>
      <c r="D59" s="19">
        <f>'[1]А-4'!$F$65</f>
        <v>5</v>
      </c>
      <c r="E59" s="94">
        <f>'[1]Норматив и фактически 2017'!$F$64</f>
        <v>662</v>
      </c>
      <c r="F59" s="112">
        <f t="shared" si="22"/>
        <v>426.72223858831256</v>
      </c>
      <c r="G59" s="70">
        <f t="shared" si="23"/>
        <v>352.85661908867564</v>
      </c>
      <c r="H59" s="70">
        <f t="shared" si="24"/>
        <v>73.8656194996369</v>
      </c>
      <c r="I59" s="26">
        <f t="shared" si="25"/>
        <v>63.49999999999999</v>
      </c>
      <c r="J59" s="19">
        <f>'[1]А-4'!G65</f>
        <v>56.599999999999994</v>
      </c>
      <c r="K59" s="26">
        <f>'[1]А-4'!$H$65</f>
        <v>6.9</v>
      </c>
      <c r="L59" s="26">
        <f>'[1]А-4'!$Q$65</f>
        <v>25</v>
      </c>
      <c r="M59" s="26">
        <f>'[1]А-4'!$AC$65</f>
        <v>2</v>
      </c>
      <c r="N59" s="21">
        <f t="shared" si="29"/>
        <v>4.41696113074205</v>
      </c>
      <c r="O59" s="21">
        <f t="shared" si="30"/>
        <v>2.899</v>
      </c>
      <c r="P59" s="26">
        <f t="shared" si="31"/>
        <v>2.4</v>
      </c>
      <c r="Q59" s="26">
        <f t="shared" si="32"/>
        <v>1.6</v>
      </c>
      <c r="R59" s="22">
        <f t="shared" si="26"/>
        <v>846</v>
      </c>
      <c r="S59" s="22">
        <f t="shared" si="27"/>
        <v>118</v>
      </c>
      <c r="T59" s="16">
        <f t="shared" si="28"/>
        <v>964</v>
      </c>
      <c r="U59" s="24">
        <f>ROUNDDOWN(IF(T59&lt;$O$3,"0",T59*7/100),0)</f>
        <v>67</v>
      </c>
      <c r="V59" s="7">
        <v>5</v>
      </c>
      <c r="W59" s="24">
        <f t="shared" si="33"/>
        <v>5</v>
      </c>
      <c r="X59" s="48">
        <f t="shared" si="21"/>
        <v>2.259080762205213</v>
      </c>
    </row>
    <row r="60" spans="1:24" ht="12.75">
      <c r="A60" s="28">
        <v>51</v>
      </c>
      <c r="B60" s="12" t="s">
        <v>96</v>
      </c>
      <c r="C60" s="12"/>
      <c r="D60" s="18">
        <f>'[1]А-4'!$F$66</f>
        <v>3</v>
      </c>
      <c r="E60" s="92">
        <f>'[1]Норматив и фактически 2017'!$F$65</f>
        <v>265.423</v>
      </c>
      <c r="F60" s="112">
        <f t="shared" si="22"/>
        <v>171.09047844837718</v>
      </c>
      <c r="G60" s="70">
        <f t="shared" si="23"/>
        <v>141.47471662896308</v>
      </c>
      <c r="H60" s="70">
        <f t="shared" si="24"/>
        <v>29.61576181941409</v>
      </c>
      <c r="I60" s="26">
        <f t="shared" si="25"/>
        <v>39</v>
      </c>
      <c r="J60" s="19">
        <f>'[1]А-4'!G66</f>
        <v>33.2</v>
      </c>
      <c r="K60" s="26">
        <f>'[1]А-4'!$H$66</f>
        <v>5.8</v>
      </c>
      <c r="L60" s="26">
        <f>'[1]А-4'!$Q$66</f>
        <v>14</v>
      </c>
      <c r="M60" s="26">
        <f>'[1]А-4'!$AC$66</f>
        <v>2</v>
      </c>
      <c r="N60" s="21">
        <f t="shared" si="29"/>
        <v>4.216867469879518</v>
      </c>
      <c r="O60" s="21">
        <f t="shared" si="30"/>
        <v>3.448</v>
      </c>
      <c r="P60" s="26">
        <f t="shared" si="31"/>
        <v>2.3</v>
      </c>
      <c r="Q60" s="26">
        <f t="shared" si="32"/>
        <v>1.9</v>
      </c>
      <c r="R60" s="22">
        <f t="shared" si="26"/>
        <v>325</v>
      </c>
      <c r="S60" s="22">
        <f t="shared" si="27"/>
        <v>56</v>
      </c>
      <c r="T60" s="16">
        <f t="shared" si="28"/>
        <v>381</v>
      </c>
      <c r="U60" s="24">
        <f>ROUNDDOWN(IF(T60&lt;$O$3,"0",T60*7/100),0)</f>
        <v>26</v>
      </c>
      <c r="V60" s="9">
        <v>3</v>
      </c>
      <c r="W60" s="24">
        <f t="shared" si="33"/>
        <v>3</v>
      </c>
      <c r="X60" s="48">
        <f t="shared" si="21"/>
        <v>2.226891896353884</v>
      </c>
    </row>
    <row r="61" spans="1:24" ht="12.75">
      <c r="A61" s="28">
        <v>52</v>
      </c>
      <c r="B61" s="11" t="s">
        <v>45</v>
      </c>
      <c r="C61" s="7"/>
      <c r="D61" s="19">
        <f>'[1]А-4'!$F$67</f>
        <v>0</v>
      </c>
      <c r="E61" s="94">
        <f>'[1]Норматив и фактически 2017'!$F$66</f>
        <v>245.077</v>
      </c>
      <c r="F61" s="112">
        <f t="shared" si="22"/>
        <v>157.97553786481552</v>
      </c>
      <c r="G61" s="70">
        <f t="shared" si="23"/>
        <v>130.62997226041594</v>
      </c>
      <c r="H61" s="70">
        <f t="shared" si="24"/>
        <v>27.345565604399567</v>
      </c>
      <c r="I61" s="26">
        <f t="shared" si="25"/>
        <v>0</v>
      </c>
      <c r="J61" s="19">
        <f>'[1]А-4'!G67</f>
        <v>0</v>
      </c>
      <c r="K61" s="26">
        <f>'[1]А-4'!$H$67</f>
        <v>0</v>
      </c>
      <c r="L61" s="26">
        <f>'[1]А-4'!$Q$67</f>
        <v>0</v>
      </c>
      <c r="M61" s="26">
        <f>'[1]А-4'!$AC$67</f>
        <v>0</v>
      </c>
      <c r="N61" s="21"/>
      <c r="O61" s="21"/>
      <c r="P61" s="26">
        <f t="shared" si="31"/>
        <v>0</v>
      </c>
      <c r="Q61" s="26">
        <f t="shared" si="32"/>
        <v>0</v>
      </c>
      <c r="R61" s="22">
        <f t="shared" si="26"/>
        <v>0</v>
      </c>
      <c r="S61" s="22">
        <f t="shared" si="27"/>
        <v>0</v>
      </c>
      <c r="T61" s="16">
        <f t="shared" si="28"/>
        <v>0</v>
      </c>
      <c r="U61" s="24">
        <f>ROUNDDOWN(IF(T61&lt;$O$3,"0",T61*5/100),0)</f>
        <v>0</v>
      </c>
      <c r="V61" s="7">
        <v>10</v>
      </c>
      <c r="W61" s="24">
        <f t="shared" si="33"/>
        <v>0</v>
      </c>
      <c r="X61" s="48">
        <f t="shared" si="21"/>
        <v>0</v>
      </c>
    </row>
    <row r="62" spans="1:24" s="27" customFormat="1" ht="14.25" customHeight="1">
      <c r="A62" s="28">
        <v>53</v>
      </c>
      <c r="B62" s="204" t="s">
        <v>133</v>
      </c>
      <c r="C62" s="205"/>
      <c r="D62" s="18">
        <f>'[1]А-4'!$F$68</f>
        <v>3</v>
      </c>
      <c r="E62" s="95">
        <f>'[1]Норматив и фактически 2017'!$F$67</f>
        <v>303.961</v>
      </c>
      <c r="F62" s="112">
        <f t="shared" si="22"/>
        <v>195.93190085127202</v>
      </c>
      <c r="G62" s="70">
        <f t="shared" si="23"/>
        <v>162.01608881391684</v>
      </c>
      <c r="H62" s="70">
        <f t="shared" si="24"/>
        <v>33.91581203735519</v>
      </c>
      <c r="I62" s="26">
        <f t="shared" si="25"/>
        <v>33.5</v>
      </c>
      <c r="J62" s="19">
        <f>'[1]А-4'!G68</f>
        <v>33.5</v>
      </c>
      <c r="K62" s="26">
        <f>'[1]А-4'!$H$68</f>
        <v>0</v>
      </c>
      <c r="L62" s="26">
        <f>'[1]А-4'!$Q$68</f>
        <v>3</v>
      </c>
      <c r="M62" s="26">
        <f>'[1]А-4'!$AC$68</f>
        <v>0</v>
      </c>
      <c r="N62" s="21">
        <f t="shared" si="29"/>
        <v>0.8955223880597015</v>
      </c>
      <c r="O62" s="21"/>
      <c r="P62" s="26">
        <f t="shared" si="31"/>
        <v>0.5</v>
      </c>
      <c r="Q62" s="26">
        <f t="shared" si="32"/>
        <v>0</v>
      </c>
      <c r="R62" s="22">
        <f t="shared" si="26"/>
        <v>81</v>
      </c>
      <c r="S62" s="22">
        <f t="shared" si="27"/>
        <v>0</v>
      </c>
      <c r="T62" s="16">
        <f t="shared" si="28"/>
        <v>81</v>
      </c>
      <c r="U62" s="24">
        <f>ROUNDDOWN(IF(T62&lt;$O$3,"0",T62*3/100),0)</f>
        <v>2</v>
      </c>
      <c r="V62" s="9">
        <v>0</v>
      </c>
      <c r="W62" s="24">
        <f t="shared" si="33"/>
        <v>0</v>
      </c>
      <c r="X62" s="48">
        <f t="shared" si="21"/>
        <v>0.41340894284226576</v>
      </c>
    </row>
    <row r="63" spans="1:24" ht="12.75">
      <c r="A63" s="28">
        <v>54</v>
      </c>
      <c r="B63" s="204" t="s">
        <v>134</v>
      </c>
      <c r="C63" s="205"/>
      <c r="D63" s="18">
        <f>'[1]А-4'!$F$69</f>
        <v>2</v>
      </c>
      <c r="E63" s="105">
        <f>'[1]Норматив и фактически 2017'!$F$68</f>
        <v>54.1614</v>
      </c>
      <c r="F63" s="113">
        <f t="shared" si="22"/>
        <v>34.91219615268434</v>
      </c>
      <c r="G63" s="106">
        <f t="shared" si="23"/>
        <v>28.868894998654678</v>
      </c>
      <c r="H63" s="106">
        <f t="shared" si="24"/>
        <v>6.043301154029659</v>
      </c>
      <c r="I63" s="26">
        <f t="shared" si="25"/>
        <v>23.1</v>
      </c>
      <c r="J63" s="19">
        <f>'[1]А-4'!G69</f>
        <v>23.1</v>
      </c>
      <c r="K63" s="26">
        <f>'[1]А-4'!$H$69</f>
        <v>0</v>
      </c>
      <c r="L63" s="26">
        <f>'[1]А-4'!$Q$69</f>
        <v>3</v>
      </c>
      <c r="M63" s="26">
        <f>'[1]А-4'!$AC$69</f>
        <v>0</v>
      </c>
      <c r="N63" s="21">
        <f t="shared" si="29"/>
        <v>1.2987012987012987</v>
      </c>
      <c r="O63" s="21"/>
      <c r="P63" s="26">
        <f t="shared" si="31"/>
        <v>0.7</v>
      </c>
      <c r="Q63" s="26">
        <f t="shared" si="32"/>
        <v>0</v>
      </c>
      <c r="R63" s="22">
        <f t="shared" si="26"/>
        <v>20</v>
      </c>
      <c r="S63" s="22">
        <f t="shared" si="27"/>
        <v>0</v>
      </c>
      <c r="T63" s="16">
        <f t="shared" si="28"/>
        <v>20</v>
      </c>
      <c r="U63" s="24">
        <f>ROUNDDOWN(IF(T63&lt;$O$3,"0",T63*3/100),0)</f>
        <v>0</v>
      </c>
      <c r="V63" s="139">
        <v>0</v>
      </c>
      <c r="W63" s="24">
        <f t="shared" si="33"/>
        <v>0</v>
      </c>
      <c r="X63" s="48">
        <f>T64/F64</f>
        <v>0</v>
      </c>
    </row>
    <row r="64" spans="1:24" ht="12.75">
      <c r="A64" s="28">
        <v>55</v>
      </c>
      <c r="B64" s="30" t="s">
        <v>63</v>
      </c>
      <c r="C64" s="31"/>
      <c r="D64" s="18">
        <f>'[1]А-4'!$F$70</f>
        <v>9</v>
      </c>
      <c r="E64" s="95">
        <f>'[1]Норматив и фактически 2017'!$F$69</f>
        <v>500.249</v>
      </c>
      <c r="F64" s="112">
        <f t="shared" si="22"/>
        <v>322.45826757033956</v>
      </c>
      <c r="G64" s="70">
        <f t="shared" si="23"/>
        <v>266.6407414539138</v>
      </c>
      <c r="H64" s="70">
        <f t="shared" si="24"/>
        <v>55.81752611642578</v>
      </c>
      <c r="I64" s="26">
        <f t="shared" si="25"/>
        <v>91.1</v>
      </c>
      <c r="J64" s="19">
        <f>'[1]А-4'!G70</f>
        <v>78.6</v>
      </c>
      <c r="K64" s="26">
        <f>'[1]А-4'!$H$70</f>
        <v>12.5</v>
      </c>
      <c r="L64" s="26">
        <f>'[1]А-4'!$Q$70</f>
        <v>0</v>
      </c>
      <c r="M64" s="26">
        <f>'[1]А-4'!$AC$70</f>
        <v>0</v>
      </c>
      <c r="N64" s="21">
        <f t="shared" si="29"/>
        <v>0</v>
      </c>
      <c r="O64" s="21">
        <f t="shared" si="30"/>
        <v>0</v>
      </c>
      <c r="P64" s="26">
        <f t="shared" si="31"/>
        <v>0</v>
      </c>
      <c r="Q64" s="26">
        <f t="shared" si="32"/>
        <v>0</v>
      </c>
      <c r="R64" s="22">
        <f t="shared" si="26"/>
        <v>0</v>
      </c>
      <c r="S64" s="22">
        <f t="shared" si="27"/>
        <v>0</v>
      </c>
      <c r="T64" s="16">
        <f t="shared" si="28"/>
        <v>0</v>
      </c>
      <c r="U64" s="24">
        <f>ROUNDDOWN(IF(T64&lt;$O$3,"0",T64*3/100),0)</f>
        <v>0</v>
      </c>
      <c r="V64" s="9">
        <v>8</v>
      </c>
      <c r="W64" s="24">
        <f t="shared" si="33"/>
        <v>0</v>
      </c>
      <c r="X64" s="48">
        <f>T64/F64</f>
        <v>0</v>
      </c>
    </row>
    <row r="65" spans="1:24" ht="12.75">
      <c r="A65" s="28">
        <v>56</v>
      </c>
      <c r="B65" s="33" t="s">
        <v>29</v>
      </c>
      <c r="C65" s="38"/>
      <c r="D65" s="18">
        <f>'[1]А-4'!$F$71</f>
        <v>28</v>
      </c>
      <c r="E65" s="92">
        <f>'[1]Норматив и фактически 2017'!$F$70</f>
        <v>2181.5546</v>
      </c>
      <c r="F65" s="112">
        <f t="shared" si="22"/>
        <v>1406.2203361248198</v>
      </c>
      <c r="G65" s="70">
        <f t="shared" si="23"/>
        <v>1162.8035959416134</v>
      </c>
      <c r="H65" s="70">
        <f t="shared" si="24"/>
        <v>243.41674018320631</v>
      </c>
      <c r="I65" s="26">
        <f t="shared" si="25"/>
        <v>302.99999999999994</v>
      </c>
      <c r="J65" s="19">
        <f>'[1]А-4'!G71</f>
        <v>298.49999999999994</v>
      </c>
      <c r="K65" s="26">
        <f>'[1]А-4'!$H$71</f>
        <v>4.5</v>
      </c>
      <c r="L65" s="26">
        <f>'[1]А-4'!$Q$71</f>
        <v>33</v>
      </c>
      <c r="M65" s="26">
        <f>'[1]А-4'!$AC$71</f>
        <v>0</v>
      </c>
      <c r="N65" s="21">
        <f t="shared" si="29"/>
        <v>1.105527638190955</v>
      </c>
      <c r="O65" s="21">
        <f t="shared" si="30"/>
        <v>0</v>
      </c>
      <c r="P65" s="26">
        <f t="shared" si="31"/>
        <v>0.6</v>
      </c>
      <c r="Q65" s="26">
        <f t="shared" si="32"/>
        <v>0</v>
      </c>
      <c r="R65" s="22">
        <f t="shared" si="26"/>
        <v>697</v>
      </c>
      <c r="S65" s="22">
        <f t="shared" si="27"/>
        <v>0</v>
      </c>
      <c r="T65" s="16">
        <f t="shared" si="28"/>
        <v>697</v>
      </c>
      <c r="U65" s="24">
        <f>ROUNDDOWN(IF(T65&lt;$O$3,"0",T65*3/100),0)</f>
        <v>20</v>
      </c>
      <c r="V65" s="9"/>
      <c r="W65" s="24">
        <f>U65</f>
        <v>20</v>
      </c>
      <c r="X65" s="48">
        <f>T65/F65</f>
        <v>0.4956548999431711</v>
      </c>
    </row>
    <row r="66" spans="1:24" ht="12.75">
      <c r="A66" s="28">
        <v>57</v>
      </c>
      <c r="B66" s="90"/>
      <c r="C66" s="103"/>
      <c r="D66" s="18"/>
      <c r="E66" s="92"/>
      <c r="F66" s="112"/>
      <c r="G66" s="70"/>
      <c r="H66" s="70"/>
      <c r="I66" s="26"/>
      <c r="J66" s="19"/>
      <c r="K66" s="26"/>
      <c r="L66" s="26"/>
      <c r="M66" s="26"/>
      <c r="N66" s="21"/>
      <c r="O66" s="21"/>
      <c r="P66" s="26"/>
      <c r="Q66" s="26"/>
      <c r="R66" s="22"/>
      <c r="S66" s="22"/>
      <c r="T66" s="16"/>
      <c r="U66" s="24"/>
      <c r="V66" s="9"/>
      <c r="W66" s="24"/>
      <c r="X66" s="48"/>
    </row>
    <row r="67" spans="1:24" ht="12.75">
      <c r="A67" s="28">
        <v>58</v>
      </c>
      <c r="B67" s="90"/>
      <c r="C67" s="103"/>
      <c r="D67" s="18"/>
      <c r="E67" s="92"/>
      <c r="F67" s="112"/>
      <c r="G67" s="70"/>
      <c r="H67" s="70"/>
      <c r="I67" s="26"/>
      <c r="J67" s="19"/>
      <c r="K67" s="26"/>
      <c r="L67" s="26"/>
      <c r="M67" s="26"/>
      <c r="N67" s="21"/>
      <c r="O67" s="21"/>
      <c r="P67" s="26"/>
      <c r="Q67" s="26"/>
      <c r="R67" s="22"/>
      <c r="S67" s="22"/>
      <c r="T67" s="16"/>
      <c r="U67" s="24"/>
      <c r="V67" s="9"/>
      <c r="W67" s="24"/>
      <c r="X67" s="48"/>
    </row>
    <row r="68" spans="1:24" ht="12.75">
      <c r="A68" s="28">
        <v>59</v>
      </c>
      <c r="B68" s="90"/>
      <c r="C68" s="103"/>
      <c r="D68" s="18"/>
      <c r="E68" s="92"/>
      <c r="F68" s="112"/>
      <c r="G68" s="70"/>
      <c r="H68" s="70"/>
      <c r="I68" s="26"/>
      <c r="J68" s="19"/>
      <c r="K68" s="26"/>
      <c r="L68" s="26"/>
      <c r="M68" s="26"/>
      <c r="N68" s="21"/>
      <c r="O68" s="21"/>
      <c r="P68" s="26"/>
      <c r="Q68" s="26"/>
      <c r="R68" s="22"/>
      <c r="S68" s="22"/>
      <c r="T68" s="16"/>
      <c r="U68" s="24"/>
      <c r="V68" s="9"/>
      <c r="W68" s="24"/>
      <c r="X68" s="48"/>
    </row>
    <row r="69" spans="1:24" ht="12.75">
      <c r="A69" s="28">
        <v>60</v>
      </c>
      <c r="B69" s="90"/>
      <c r="C69" s="103"/>
      <c r="D69" s="18"/>
      <c r="E69" s="92"/>
      <c r="F69" s="112"/>
      <c r="G69" s="70"/>
      <c r="H69" s="70"/>
      <c r="I69" s="26"/>
      <c r="J69" s="19"/>
      <c r="K69" s="26"/>
      <c r="L69" s="26"/>
      <c r="M69" s="26"/>
      <c r="N69" s="21"/>
      <c r="O69" s="21"/>
      <c r="P69" s="26"/>
      <c r="Q69" s="26"/>
      <c r="R69" s="22"/>
      <c r="S69" s="22"/>
      <c r="T69" s="16"/>
      <c r="U69" s="24"/>
      <c r="V69" s="9"/>
      <c r="W69" s="24"/>
      <c r="X69" s="48"/>
    </row>
    <row r="70" spans="1:24" ht="12.75">
      <c r="A70" s="28">
        <v>61</v>
      </c>
      <c r="B70" s="90"/>
      <c r="C70" s="103"/>
      <c r="D70" s="18"/>
      <c r="E70" s="92"/>
      <c r="F70" s="112"/>
      <c r="G70" s="70"/>
      <c r="H70" s="70"/>
      <c r="I70" s="26"/>
      <c r="J70" s="19"/>
      <c r="K70" s="26"/>
      <c r="L70" s="26"/>
      <c r="M70" s="26"/>
      <c r="N70" s="21"/>
      <c r="O70" s="21"/>
      <c r="P70" s="26"/>
      <c r="Q70" s="26"/>
      <c r="R70" s="22"/>
      <c r="S70" s="22"/>
      <c r="T70" s="16"/>
      <c r="U70" s="24"/>
      <c r="V70" s="9"/>
      <c r="W70" s="24"/>
      <c r="X70" s="48"/>
    </row>
    <row r="71" spans="1:30" ht="31.5" customHeight="1">
      <c r="A71" s="9"/>
      <c r="B71" s="210" t="s">
        <v>89</v>
      </c>
      <c r="C71" s="178"/>
      <c r="D71" s="78">
        <f aca="true" t="shared" si="34" ref="D71:M71">SUM(D72:D88)</f>
        <v>90</v>
      </c>
      <c r="E71" s="99">
        <f t="shared" si="34"/>
        <v>9060.788999999999</v>
      </c>
      <c r="F71" s="99">
        <f t="shared" si="34"/>
        <v>7001.000000000001</v>
      </c>
      <c r="G71" s="79">
        <f t="shared" si="34"/>
        <v>4491.841600000001</v>
      </c>
      <c r="H71" s="79">
        <f t="shared" si="34"/>
        <v>2509.1584000000007</v>
      </c>
      <c r="I71" s="79">
        <f t="shared" si="34"/>
        <v>947.5299999999999</v>
      </c>
      <c r="J71" s="79">
        <f t="shared" si="34"/>
        <v>569.24</v>
      </c>
      <c r="K71" s="79">
        <f t="shared" si="34"/>
        <v>378.28999999999996</v>
      </c>
      <c r="L71" s="79">
        <f t="shared" si="34"/>
        <v>143</v>
      </c>
      <c r="M71" s="79">
        <f t="shared" si="34"/>
        <v>102</v>
      </c>
      <c r="N71" s="74">
        <f>ROUND(L71/J71*10,2)</f>
        <v>2.51</v>
      </c>
      <c r="O71" s="74">
        <f>ROUND(M71/K71*10,3)</f>
        <v>2.696</v>
      </c>
      <c r="P71" s="76">
        <f aca="true" t="shared" si="35" ref="P71:Q78">ROUND(N71*$M$5,1)</f>
        <v>1.4</v>
      </c>
      <c r="Q71" s="76">
        <f t="shared" si="35"/>
        <v>1.5</v>
      </c>
      <c r="R71" s="79">
        <f aca="true" t="shared" si="36" ref="R71:W71">SUM(R72:R88)</f>
        <v>6574</v>
      </c>
      <c r="S71" s="79">
        <f t="shared" si="36"/>
        <v>2742</v>
      </c>
      <c r="T71" s="79">
        <f t="shared" si="36"/>
        <v>9316</v>
      </c>
      <c r="U71" s="79">
        <f t="shared" si="36"/>
        <v>553</v>
      </c>
      <c r="V71" s="79">
        <f t="shared" si="36"/>
        <v>55</v>
      </c>
      <c r="W71" s="79">
        <f t="shared" si="36"/>
        <v>328</v>
      </c>
      <c r="X71" s="48">
        <f aca="true" t="shared" si="37" ref="X71:X78">T71/F71</f>
        <v>1.3306670475646334</v>
      </c>
      <c r="Y71" s="50">
        <f>7001/E71</f>
        <v>0.7726700180304388</v>
      </c>
      <c r="AB71">
        <v>9221</v>
      </c>
      <c r="AD71" s="20">
        <f>AB71-T71</f>
        <v>-95</v>
      </c>
    </row>
    <row r="72" spans="1:24" ht="12.75">
      <c r="A72" s="28">
        <v>62</v>
      </c>
      <c r="B72" s="15" t="s">
        <v>100</v>
      </c>
      <c r="C72" s="9"/>
      <c r="D72" s="18">
        <f>'[1]А-4'!$F$83</f>
        <v>1</v>
      </c>
      <c r="E72" s="92">
        <f>'[1]Норматив и фактически 2017'!$F$77</f>
        <v>225</v>
      </c>
      <c r="F72" s="112">
        <f aca="true" t="shared" si="38" ref="F72:F85">E72*$Y$71</f>
        <v>173.85075405684873</v>
      </c>
      <c r="G72" s="70">
        <f aca="true" t="shared" si="39" ref="G72:G85">F72*0.6416</f>
        <v>111.54264380287414</v>
      </c>
      <c r="H72" s="70">
        <f aca="true" t="shared" si="40" ref="H72:H85">F72*0.3584</f>
        <v>62.30811025397458</v>
      </c>
      <c r="I72" s="26">
        <f aca="true" t="shared" si="41" ref="I72:I85">J72+K72</f>
        <v>10</v>
      </c>
      <c r="J72" s="19">
        <f>'[1]А-4'!G83</f>
        <v>10</v>
      </c>
      <c r="K72" s="26">
        <f>'[1]А-4'!$H$83</f>
        <v>0</v>
      </c>
      <c r="L72" s="26">
        <f>'[1]А-4'!$Q$83</f>
        <v>0</v>
      </c>
      <c r="M72" s="21">
        <f>'[1]А-4'!$AC$83</f>
        <v>0</v>
      </c>
      <c r="N72" s="21">
        <f>L72*10/J72</f>
        <v>0</v>
      </c>
      <c r="O72" s="21"/>
      <c r="P72" s="26">
        <f t="shared" si="35"/>
        <v>0</v>
      </c>
      <c r="Q72" s="26">
        <f t="shared" si="35"/>
        <v>0</v>
      </c>
      <c r="R72" s="22">
        <f aca="true" t="shared" si="42" ref="R72:R85">ROUNDDOWN((P72*G72),0)</f>
        <v>0</v>
      </c>
      <c r="S72" s="22">
        <f aca="true" t="shared" si="43" ref="S72:S85">ROUNDDOWN((Q72*H72),0)</f>
        <v>0</v>
      </c>
      <c r="T72" s="16">
        <f aca="true" t="shared" si="44" ref="T72:T85">R72+S72</f>
        <v>0</v>
      </c>
      <c r="U72" s="24">
        <f>ROUNDDOWN(IF(T72&lt;$O$3,"0",T72*3/100),0)</f>
        <v>0</v>
      </c>
      <c r="V72" s="9">
        <v>2</v>
      </c>
      <c r="W72" s="24">
        <f aca="true" t="shared" si="45" ref="W72:W80">IF(V72&lt;=U72,V72,U72)</f>
        <v>0</v>
      </c>
      <c r="X72" s="48">
        <f t="shared" si="37"/>
        <v>0</v>
      </c>
    </row>
    <row r="73" spans="1:30" ht="12.75">
      <c r="A73" s="28">
        <f aca="true" t="shared" si="46" ref="A73:A88">A72+1</f>
        <v>63</v>
      </c>
      <c r="B73" s="15" t="s">
        <v>101</v>
      </c>
      <c r="C73" s="9"/>
      <c r="D73" s="18">
        <f>'[1]А-4'!$F$84</f>
        <v>7</v>
      </c>
      <c r="E73" s="92">
        <f>'[1]Норматив и фактически 2017'!$F$78</f>
        <v>520</v>
      </c>
      <c r="F73" s="112">
        <f t="shared" si="38"/>
        <v>401.78840937582817</v>
      </c>
      <c r="G73" s="70">
        <f t="shared" si="39"/>
        <v>257.78744345553133</v>
      </c>
      <c r="H73" s="70">
        <f t="shared" si="40"/>
        <v>144.0009659202968</v>
      </c>
      <c r="I73" s="26">
        <f t="shared" si="41"/>
        <v>70</v>
      </c>
      <c r="J73" s="19">
        <f>'[1]А-4'!G84</f>
        <v>70</v>
      </c>
      <c r="K73" s="26">
        <f>'[1]А-4'!$H$84</f>
        <v>0</v>
      </c>
      <c r="L73" s="26">
        <f>'[1]А-4'!$Q$84</f>
        <v>1</v>
      </c>
      <c r="M73" s="21">
        <f>'[1]А-4'!$AC$84</f>
        <v>0</v>
      </c>
      <c r="N73" s="21">
        <f>L73*10/J73</f>
        <v>0.14285714285714285</v>
      </c>
      <c r="O73" s="21"/>
      <c r="P73" s="26">
        <f t="shared" si="35"/>
        <v>0.1</v>
      </c>
      <c r="Q73" s="26">
        <f t="shared" si="35"/>
        <v>0</v>
      </c>
      <c r="R73" s="22">
        <f t="shared" si="42"/>
        <v>25</v>
      </c>
      <c r="S73" s="22">
        <f t="shared" si="43"/>
        <v>0</v>
      </c>
      <c r="T73" s="16">
        <f t="shared" si="44"/>
        <v>25</v>
      </c>
      <c r="U73" s="24">
        <f>ROUNDDOWN(IF(T73&lt;$O$3,"0",T73*3/100),0)</f>
        <v>0</v>
      </c>
      <c r="V73" s="9">
        <v>6</v>
      </c>
      <c r="W73" s="24">
        <f t="shared" si="45"/>
        <v>0</v>
      </c>
      <c r="X73" s="48">
        <f t="shared" si="37"/>
        <v>0.06222180485205409</v>
      </c>
      <c r="AD73" s="51">
        <f>9064.2-R71</f>
        <v>2490.2000000000007</v>
      </c>
    </row>
    <row r="74" spans="1:24" ht="12.75">
      <c r="A74" s="28">
        <f t="shared" si="46"/>
        <v>64</v>
      </c>
      <c r="B74" s="15" t="s">
        <v>102</v>
      </c>
      <c r="C74" s="9"/>
      <c r="D74" s="18">
        <f>'[1]А-4'!$F$85</f>
        <v>22</v>
      </c>
      <c r="E74" s="92">
        <f>'[1]Норматив и фактически 2017'!$F$79</f>
        <v>2256</v>
      </c>
      <c r="F74" s="112">
        <f t="shared" si="38"/>
        <v>1743.14356067667</v>
      </c>
      <c r="G74" s="70">
        <f t="shared" si="39"/>
        <v>1118.4009085301514</v>
      </c>
      <c r="H74" s="70">
        <f t="shared" si="40"/>
        <v>624.7426521465185</v>
      </c>
      <c r="I74" s="26">
        <f t="shared" si="41"/>
        <v>220</v>
      </c>
      <c r="J74" s="19">
        <f>'[1]А-4'!G85</f>
        <v>186</v>
      </c>
      <c r="K74" s="26">
        <f>'[1]А-4'!$H$85</f>
        <v>34</v>
      </c>
      <c r="L74" s="26">
        <f>'[1]А-4'!$Q$85</f>
        <v>19</v>
      </c>
      <c r="M74" s="21">
        <f>'[1]А-4'!$AC$85</f>
        <v>3</v>
      </c>
      <c r="N74" s="21">
        <f>L74*10/J74</f>
        <v>1.021505376344086</v>
      </c>
      <c r="O74" s="21">
        <f>ROUND(M74/K74*10,3)</f>
        <v>0.882</v>
      </c>
      <c r="P74" s="26">
        <f t="shared" si="35"/>
        <v>0.6</v>
      </c>
      <c r="Q74" s="26">
        <f t="shared" si="35"/>
        <v>0.5</v>
      </c>
      <c r="R74" s="22">
        <f t="shared" si="42"/>
        <v>671</v>
      </c>
      <c r="S74" s="22">
        <f t="shared" si="43"/>
        <v>312</v>
      </c>
      <c r="T74" s="16">
        <f t="shared" si="44"/>
        <v>983</v>
      </c>
      <c r="U74" s="24">
        <f>ROUNDDOWN(IF(T74&lt;$O$3,"0",T74*3/100),0)</f>
        <v>29</v>
      </c>
      <c r="V74" s="9">
        <v>36</v>
      </c>
      <c r="W74" s="24">
        <f t="shared" si="45"/>
        <v>29</v>
      </c>
      <c r="X74" s="48">
        <f t="shared" si="37"/>
        <v>0.5639237192939002</v>
      </c>
    </row>
    <row r="75" spans="1:24" s="29" customFormat="1" ht="12.75">
      <c r="A75" s="28">
        <f t="shared" si="46"/>
        <v>65</v>
      </c>
      <c r="B75" s="15" t="s">
        <v>103</v>
      </c>
      <c r="C75" s="9"/>
      <c r="D75" s="18">
        <f>'[1]А-4'!$F$86</f>
        <v>4</v>
      </c>
      <c r="E75" s="92">
        <f>'[1]Норматив и фактически 2017'!$F$80</f>
        <v>255.545</v>
      </c>
      <c r="F75" s="112">
        <f t="shared" si="38"/>
        <v>197.45195975758847</v>
      </c>
      <c r="G75" s="70">
        <f t="shared" si="39"/>
        <v>126.68517738046876</v>
      </c>
      <c r="H75" s="70">
        <f t="shared" si="40"/>
        <v>70.76678237711971</v>
      </c>
      <c r="I75" s="26">
        <f t="shared" si="41"/>
        <v>40</v>
      </c>
      <c r="J75" s="19">
        <f>'[1]А-4'!G86</f>
        <v>18</v>
      </c>
      <c r="K75" s="26">
        <f>'[1]А-4'!$H$86</f>
        <v>22</v>
      </c>
      <c r="L75" s="26">
        <f>'[1]А-4'!$Q$86</f>
        <v>4</v>
      </c>
      <c r="M75" s="21">
        <f>'[1]А-4'!$AC$86</f>
        <v>0</v>
      </c>
      <c r="N75" s="21">
        <f>L75*10/J75</f>
        <v>2.2222222222222223</v>
      </c>
      <c r="O75" s="21">
        <f>ROUND(M75/K75*10,3)</f>
        <v>0</v>
      </c>
      <c r="P75" s="26">
        <f t="shared" si="35"/>
        <v>1.2</v>
      </c>
      <c r="Q75" s="26">
        <f t="shared" si="35"/>
        <v>0</v>
      </c>
      <c r="R75" s="22">
        <f t="shared" si="42"/>
        <v>152</v>
      </c>
      <c r="S75" s="22">
        <f t="shared" si="43"/>
        <v>0</v>
      </c>
      <c r="T75" s="16">
        <f t="shared" si="44"/>
        <v>152</v>
      </c>
      <c r="U75" s="24">
        <f>ROUNDDOWN(IF(T75&lt;$O$3,"0",T75*3/100),0)</f>
        <v>4</v>
      </c>
      <c r="V75" s="9">
        <v>5</v>
      </c>
      <c r="W75" s="24">
        <f t="shared" si="45"/>
        <v>4</v>
      </c>
      <c r="X75" s="48">
        <f t="shared" si="37"/>
        <v>0.7698075024760971</v>
      </c>
    </row>
    <row r="76" spans="1:36" ht="12.75">
      <c r="A76" s="28">
        <f t="shared" si="46"/>
        <v>66</v>
      </c>
      <c r="B76" s="187" t="s">
        <v>137</v>
      </c>
      <c r="C76" s="188"/>
      <c r="D76" s="18">
        <f>'[1]А-4'!$F$87</f>
        <v>15</v>
      </c>
      <c r="E76" s="92">
        <f>'[1]Норматив и фактически 2017'!$F$81</f>
        <v>1294.273</v>
      </c>
      <c r="F76" s="112">
        <f t="shared" si="38"/>
        <v>1000.04594224631</v>
      </c>
      <c r="G76" s="70">
        <f t="shared" si="39"/>
        <v>641.6294765452325</v>
      </c>
      <c r="H76" s="70">
        <f t="shared" si="40"/>
        <v>358.4164657010775</v>
      </c>
      <c r="I76" s="26">
        <f t="shared" si="41"/>
        <v>156.73</v>
      </c>
      <c r="J76" s="19">
        <f>'[1]А-4'!G87</f>
        <v>62.9</v>
      </c>
      <c r="K76" s="26">
        <f>'[1]А-4'!$H$87</f>
        <v>93.83</v>
      </c>
      <c r="L76" s="26">
        <f>'[1]А-4'!$Q$87</f>
        <v>31</v>
      </c>
      <c r="M76" s="21">
        <f>'[1]А-4'!$AC$87</f>
        <v>43</v>
      </c>
      <c r="N76" s="21">
        <f aca="true" t="shared" si="47" ref="N76:N84">L76*10/J76</f>
        <v>4.92845786963434</v>
      </c>
      <c r="O76" s="21">
        <f aca="true" t="shared" si="48" ref="O76:O84">ROUND(M76/K76*10,3)</f>
        <v>4.583</v>
      </c>
      <c r="P76" s="26">
        <f t="shared" si="35"/>
        <v>2.7</v>
      </c>
      <c r="Q76" s="26">
        <f aca="true" t="shared" si="49" ref="Q76:Q85">ROUND(O76*$M$5,1)</f>
        <v>2.5</v>
      </c>
      <c r="R76" s="22">
        <f t="shared" si="42"/>
        <v>1732</v>
      </c>
      <c r="S76" s="22">
        <f t="shared" si="43"/>
        <v>896</v>
      </c>
      <c r="T76" s="16">
        <f t="shared" si="44"/>
        <v>2628</v>
      </c>
      <c r="U76" s="24">
        <f>ROUNDDOWN(IF(T76&lt;$O$3,"0",T76*7/100),0)</f>
        <v>183</v>
      </c>
      <c r="V76" s="9"/>
      <c r="W76" s="24">
        <v>183</v>
      </c>
      <c r="X76" s="48">
        <f t="shared" si="37"/>
        <v>2.6278792693233357</v>
      </c>
      <c r="AJ76" s="52"/>
    </row>
    <row r="77" spans="1:24" ht="12.75">
      <c r="A77" s="28">
        <f t="shared" si="46"/>
        <v>67</v>
      </c>
      <c r="B77" s="8" t="s">
        <v>64</v>
      </c>
      <c r="C77" s="8"/>
      <c r="D77" s="18">
        <f>'[1]А-4'!$F$89</f>
        <v>9</v>
      </c>
      <c r="E77" s="92">
        <f>'[1]Норматив и фактически 2017'!$F$82</f>
        <v>1035</v>
      </c>
      <c r="F77" s="112">
        <f t="shared" si="38"/>
        <v>799.7134686615042</v>
      </c>
      <c r="G77" s="70">
        <f t="shared" si="39"/>
        <v>513.0961614932211</v>
      </c>
      <c r="H77" s="70">
        <f t="shared" si="40"/>
        <v>286.6173071682831</v>
      </c>
      <c r="I77" s="26">
        <f t="shared" si="41"/>
        <v>99.79999999999998</v>
      </c>
      <c r="J77" s="19">
        <f>'[1]А-4'!G89</f>
        <v>10.6</v>
      </c>
      <c r="K77" s="26">
        <f>'[1]А-4'!$H$89</f>
        <v>89.19999999999999</v>
      </c>
      <c r="L77" s="26">
        <f>'[1]А-4'!$Q$89</f>
        <v>3</v>
      </c>
      <c r="M77" s="21">
        <f>'[1]А-4'!$AC$89</f>
        <v>20</v>
      </c>
      <c r="N77" s="21">
        <f t="shared" si="47"/>
        <v>2.8301886792452833</v>
      </c>
      <c r="O77" s="21">
        <f t="shared" si="48"/>
        <v>2.242</v>
      </c>
      <c r="P77" s="26">
        <f t="shared" si="35"/>
        <v>1.5</v>
      </c>
      <c r="Q77" s="26">
        <f t="shared" si="49"/>
        <v>1.2</v>
      </c>
      <c r="R77" s="22">
        <f t="shared" si="42"/>
        <v>769</v>
      </c>
      <c r="S77" s="22">
        <f t="shared" si="43"/>
        <v>343</v>
      </c>
      <c r="T77" s="16">
        <f t="shared" si="44"/>
        <v>1112</v>
      </c>
      <c r="U77" s="24">
        <f>ROUNDDOWN(IF(T77&lt;$O$3,"0",T77*5/100),0)</f>
        <v>55</v>
      </c>
      <c r="V77" s="9"/>
      <c r="W77" s="24">
        <v>55</v>
      </c>
      <c r="X77" s="48">
        <f t="shared" si="37"/>
        <v>1.3904980265759133</v>
      </c>
    </row>
    <row r="78" spans="1:24" ht="12.75">
      <c r="A78" s="28">
        <f t="shared" si="46"/>
        <v>68</v>
      </c>
      <c r="B78" s="80" t="s">
        <v>32</v>
      </c>
      <c r="C78" s="81"/>
      <c r="D78" s="18">
        <f>'[1]А-4'!$F$88</f>
        <v>1</v>
      </c>
      <c r="E78" s="92">
        <f>'[1]Норматив и фактически 2017'!$F$83</f>
        <v>207.569</v>
      </c>
      <c r="F78" s="112">
        <f t="shared" si="38"/>
        <v>160.38234297256014</v>
      </c>
      <c r="G78" s="70">
        <f t="shared" si="39"/>
        <v>102.90131125119457</v>
      </c>
      <c r="H78" s="70">
        <f t="shared" si="40"/>
        <v>57.481031721365554</v>
      </c>
      <c r="I78" s="26">
        <f t="shared" si="41"/>
        <v>10</v>
      </c>
      <c r="J78" s="19">
        <f>'[1]А-4'!G88</f>
        <v>10</v>
      </c>
      <c r="K78" s="26">
        <f>'[1]А-4'!$H$88</f>
        <v>0</v>
      </c>
      <c r="L78" s="26">
        <f>'[1]А-4'!$Q$88</f>
        <v>8</v>
      </c>
      <c r="M78" s="21">
        <f>'[1]А-4'!$AC$88</f>
        <v>0</v>
      </c>
      <c r="N78" s="21">
        <f t="shared" si="47"/>
        <v>8</v>
      </c>
      <c r="O78" s="21"/>
      <c r="P78" s="26">
        <f t="shared" si="35"/>
        <v>4.3</v>
      </c>
      <c r="Q78" s="26">
        <f t="shared" si="49"/>
        <v>0</v>
      </c>
      <c r="R78" s="22">
        <f t="shared" si="42"/>
        <v>442</v>
      </c>
      <c r="S78" s="22">
        <f t="shared" si="43"/>
        <v>0</v>
      </c>
      <c r="T78" s="16">
        <f t="shared" si="44"/>
        <v>442</v>
      </c>
      <c r="U78" s="24">
        <f>ROUNDDOWN(IF(T78&lt;$O$3,"0",T78*7/100),0)</f>
        <v>30</v>
      </c>
      <c r="V78" s="9">
        <v>0</v>
      </c>
      <c r="W78" s="24">
        <f t="shared" si="45"/>
        <v>0</v>
      </c>
      <c r="X78" s="48">
        <f t="shared" si="37"/>
        <v>2.7559143469778458</v>
      </c>
    </row>
    <row r="79" spans="1:28" ht="12.75">
      <c r="A79" s="28">
        <f t="shared" si="46"/>
        <v>69</v>
      </c>
      <c r="B79" s="83" t="s">
        <v>44</v>
      </c>
      <c r="C79" s="84"/>
      <c r="D79" s="18">
        <f>'[1]А-4'!$F$91</f>
        <v>0</v>
      </c>
      <c r="E79" s="92">
        <f>'[1]Норматив и фактически 2017'!$F$84</f>
        <v>684.946</v>
      </c>
      <c r="F79" s="112">
        <f t="shared" si="38"/>
        <v>529.237238169877</v>
      </c>
      <c r="G79" s="70">
        <f t="shared" si="39"/>
        <v>339.558612009793</v>
      </c>
      <c r="H79" s="70">
        <f t="shared" si="40"/>
        <v>189.6786261600839</v>
      </c>
      <c r="I79" s="26">
        <f t="shared" si="41"/>
        <v>0</v>
      </c>
      <c r="J79" s="19">
        <f>'[1]А-4'!G91</f>
        <v>0</v>
      </c>
      <c r="K79" s="26">
        <f>'[1]А-4'!$H$91</f>
        <v>0</v>
      </c>
      <c r="L79" s="26">
        <f>'[1]А-4'!$Q$91</f>
        <v>0</v>
      </c>
      <c r="M79" s="21">
        <f>'[1]А-4'!$AC$91</f>
        <v>0</v>
      </c>
      <c r="N79" s="21"/>
      <c r="O79" s="21"/>
      <c r="P79" s="26">
        <f aca="true" t="shared" si="50" ref="P79:P85">ROUND(N79*$M$5,1)</f>
        <v>0</v>
      </c>
      <c r="Q79" s="26">
        <f t="shared" si="49"/>
        <v>0</v>
      </c>
      <c r="R79" s="22">
        <f t="shared" si="42"/>
        <v>0</v>
      </c>
      <c r="S79" s="22">
        <f t="shared" si="43"/>
        <v>0</v>
      </c>
      <c r="T79" s="16">
        <f t="shared" si="44"/>
        <v>0</v>
      </c>
      <c r="U79" s="24">
        <f>ROUNDDOWN(IF(T79&lt;$O$3,"0",T79*3/100),0)</f>
        <v>0</v>
      </c>
      <c r="V79" s="9">
        <v>0</v>
      </c>
      <c r="W79" s="24">
        <f t="shared" si="45"/>
        <v>0</v>
      </c>
      <c r="X79" s="48">
        <f>T79/F79</f>
        <v>0</v>
      </c>
      <c r="AB79">
        <f>9064.2-8805</f>
        <v>259.2000000000007</v>
      </c>
    </row>
    <row r="80" spans="1:28" ht="12.75">
      <c r="A80" s="28">
        <f t="shared" si="46"/>
        <v>70</v>
      </c>
      <c r="B80" s="33" t="s">
        <v>31</v>
      </c>
      <c r="C80" s="34"/>
      <c r="D80" s="18">
        <f>'[1]А-4'!$F$95</f>
        <v>1</v>
      </c>
      <c r="E80" s="92">
        <f>'[1]Норматив и фактически 2017'!$F$85</f>
        <v>156.031</v>
      </c>
      <c r="F80" s="112">
        <f t="shared" si="38"/>
        <v>120.5604755833074</v>
      </c>
      <c r="G80" s="70">
        <f t="shared" si="39"/>
        <v>77.35160113425002</v>
      </c>
      <c r="H80" s="70">
        <f t="shared" si="40"/>
        <v>43.20887444905737</v>
      </c>
      <c r="I80" s="26">
        <f t="shared" si="41"/>
        <v>11.8</v>
      </c>
      <c r="J80" s="19">
        <f>'[1]А-4'!G95</f>
        <v>7.8</v>
      </c>
      <c r="K80" s="26">
        <f>'[1]А-4'!$H$95</f>
        <v>4</v>
      </c>
      <c r="L80" s="26">
        <f>'[1]А-4'!$Q$95</f>
        <v>12</v>
      </c>
      <c r="M80" s="21">
        <f>'[1]А-4'!$AC$95</f>
        <v>8</v>
      </c>
      <c r="N80" s="21">
        <f t="shared" si="47"/>
        <v>15.384615384615385</v>
      </c>
      <c r="O80" s="21">
        <f t="shared" si="48"/>
        <v>20</v>
      </c>
      <c r="P80" s="26">
        <f t="shared" si="50"/>
        <v>8.3</v>
      </c>
      <c r="Q80" s="26">
        <f t="shared" si="49"/>
        <v>10.8</v>
      </c>
      <c r="R80" s="22">
        <f t="shared" si="42"/>
        <v>642</v>
      </c>
      <c r="S80" s="22">
        <f t="shared" si="43"/>
        <v>466</v>
      </c>
      <c r="T80" s="16">
        <f t="shared" si="44"/>
        <v>1108</v>
      </c>
      <c r="U80" s="24">
        <f>ROUNDDOWN(IF(T80&lt;$O$3,"0",T80*12/100),0)</f>
        <v>132</v>
      </c>
      <c r="V80" s="9">
        <v>6</v>
      </c>
      <c r="W80" s="24">
        <f t="shared" si="45"/>
        <v>6</v>
      </c>
      <c r="X80" s="48">
        <f aca="true" t="shared" si="51" ref="X80:X85">T80/F80</f>
        <v>9.190408337717372</v>
      </c>
      <c r="AB80">
        <f>178+AB79</f>
        <v>437.2000000000007</v>
      </c>
    </row>
    <row r="81" spans="1:24" ht="12.75">
      <c r="A81" s="28">
        <f t="shared" si="46"/>
        <v>71</v>
      </c>
      <c r="B81" s="187" t="s">
        <v>138</v>
      </c>
      <c r="C81" s="188"/>
      <c r="D81" s="18">
        <f>'[1]А-4'!$F$90</f>
        <v>8</v>
      </c>
      <c r="E81" s="92">
        <f>'[1]Норматив и фактически 2017'!$F$86</f>
        <v>609.2</v>
      </c>
      <c r="F81" s="112">
        <f t="shared" si="38"/>
        <v>470.71057498414336</v>
      </c>
      <c r="G81" s="70">
        <f t="shared" si="39"/>
        <v>302.0079049098264</v>
      </c>
      <c r="H81" s="70">
        <f t="shared" si="40"/>
        <v>168.70267007431698</v>
      </c>
      <c r="I81" s="26">
        <f t="shared" si="41"/>
        <v>88.5</v>
      </c>
      <c r="J81" s="19">
        <f>'[1]А-4'!G90</f>
        <v>50.1</v>
      </c>
      <c r="K81" s="26">
        <f>'[1]А-4'!$H$90</f>
        <v>38.400000000000006</v>
      </c>
      <c r="L81" s="26">
        <f>'[1]А-4'!$Q$90</f>
        <v>11</v>
      </c>
      <c r="M81" s="21">
        <f>'[1]А-4'!$AC$90</f>
        <v>2</v>
      </c>
      <c r="N81" s="21">
        <f t="shared" si="47"/>
        <v>2.1956087824351296</v>
      </c>
      <c r="O81" s="21">
        <f t="shared" si="48"/>
        <v>0.521</v>
      </c>
      <c r="P81" s="26">
        <f t="shared" si="50"/>
        <v>1.2</v>
      </c>
      <c r="Q81" s="26">
        <f t="shared" si="49"/>
        <v>0.3</v>
      </c>
      <c r="R81" s="22">
        <f t="shared" si="42"/>
        <v>362</v>
      </c>
      <c r="S81" s="22">
        <f t="shared" si="43"/>
        <v>50</v>
      </c>
      <c r="T81" s="16">
        <f t="shared" si="44"/>
        <v>412</v>
      </c>
      <c r="U81" s="24">
        <f>ROUNDDOWN(IF(T81&lt;$O$3,"0",T81*3/100),0)</f>
        <v>12</v>
      </c>
      <c r="V81" s="9"/>
      <c r="W81" s="24">
        <f>U81</f>
        <v>12</v>
      </c>
      <c r="X81" s="48">
        <f t="shared" si="51"/>
        <v>0.8752724538085401</v>
      </c>
    </row>
    <row r="82" spans="1:24" ht="12.75">
      <c r="A82" s="28">
        <f t="shared" si="46"/>
        <v>72</v>
      </c>
      <c r="B82" s="42" t="s">
        <v>136</v>
      </c>
      <c r="C82" s="43"/>
      <c r="D82" s="18">
        <f>'[1]А-4'!$F$92</f>
        <v>7</v>
      </c>
      <c r="E82" s="92">
        <f>'[1]Норматив и фактически 2017'!$F$87</f>
        <v>555</v>
      </c>
      <c r="F82" s="112">
        <f t="shared" si="38"/>
        <v>428.8318600068935</v>
      </c>
      <c r="G82" s="70">
        <f t="shared" si="39"/>
        <v>275.13852138042284</v>
      </c>
      <c r="H82" s="70">
        <f t="shared" si="40"/>
        <v>153.69333862647065</v>
      </c>
      <c r="I82" s="26">
        <f t="shared" si="41"/>
        <v>74.4</v>
      </c>
      <c r="J82" s="19">
        <f>'[1]А-4'!G92</f>
        <v>42.04</v>
      </c>
      <c r="K82" s="26">
        <f>'[1]А-4'!$H$92</f>
        <v>32.36</v>
      </c>
      <c r="L82" s="26">
        <f>'[1]А-4'!$Q$92</f>
        <v>16</v>
      </c>
      <c r="M82" s="21">
        <f>'[1]А-4'!$AC$92</f>
        <v>6</v>
      </c>
      <c r="N82" s="21">
        <f t="shared" si="47"/>
        <v>3.8058991436726926</v>
      </c>
      <c r="O82" s="21">
        <f t="shared" si="48"/>
        <v>1.854</v>
      </c>
      <c r="P82" s="26">
        <f t="shared" si="50"/>
        <v>2.1</v>
      </c>
      <c r="Q82" s="26">
        <f t="shared" si="49"/>
        <v>1</v>
      </c>
      <c r="R82" s="22">
        <f t="shared" si="42"/>
        <v>577</v>
      </c>
      <c r="S82" s="22">
        <f t="shared" si="43"/>
        <v>153</v>
      </c>
      <c r="T82" s="16">
        <f t="shared" si="44"/>
        <v>730</v>
      </c>
      <c r="U82" s="24">
        <f>ROUNDDOWN(IF(T82&lt;$O$3,"0",T82*5/100),0)</f>
        <v>36</v>
      </c>
      <c r="V82" s="9"/>
      <c r="W82" s="24">
        <f>U82</f>
        <v>36</v>
      </c>
      <c r="X82" s="48">
        <f t="shared" si="51"/>
        <v>1.7022988916641248</v>
      </c>
    </row>
    <row r="83" spans="1:24" ht="12.75">
      <c r="A83" s="28">
        <f t="shared" si="46"/>
        <v>73</v>
      </c>
      <c r="B83" s="187" t="s">
        <v>135</v>
      </c>
      <c r="C83" s="188"/>
      <c r="D83" s="18">
        <f>'[1]А-4'!$F$93</f>
        <v>2</v>
      </c>
      <c r="E83" s="92">
        <f>'[1]Норматив и фактически 2017'!$F$88</f>
        <v>235.4</v>
      </c>
      <c r="F83" s="112">
        <f t="shared" si="38"/>
        <v>181.8865222443653</v>
      </c>
      <c r="G83" s="70">
        <f t="shared" si="39"/>
        <v>116.69839267198476</v>
      </c>
      <c r="H83" s="70">
        <f t="shared" si="40"/>
        <v>65.18812957238052</v>
      </c>
      <c r="I83" s="26">
        <f t="shared" si="41"/>
        <v>21.200000000000003</v>
      </c>
      <c r="J83" s="19">
        <f>'[1]А-4'!G93</f>
        <v>10.9</v>
      </c>
      <c r="K83" s="26">
        <f>'[1]А-4'!$H$93</f>
        <v>10.3</v>
      </c>
      <c r="L83" s="26">
        <f>'[1]А-4'!$Q$93</f>
        <v>2</v>
      </c>
      <c r="M83" s="21">
        <f>'[1]А-4'!$AC$93</f>
        <v>0</v>
      </c>
      <c r="N83" s="21">
        <f t="shared" si="47"/>
        <v>1.8348623853211008</v>
      </c>
      <c r="O83" s="21">
        <f t="shared" si="48"/>
        <v>0</v>
      </c>
      <c r="P83" s="26">
        <f t="shared" si="50"/>
        <v>1</v>
      </c>
      <c r="Q83" s="26">
        <f t="shared" si="49"/>
        <v>0</v>
      </c>
      <c r="R83" s="22">
        <f t="shared" si="42"/>
        <v>116</v>
      </c>
      <c r="S83" s="22">
        <f t="shared" si="43"/>
        <v>0</v>
      </c>
      <c r="T83" s="16">
        <f t="shared" si="44"/>
        <v>116</v>
      </c>
      <c r="U83" s="24">
        <f>ROUNDDOWN(IF(T83&lt;$O$3,"0",T83*3/100),0)</f>
        <v>3</v>
      </c>
      <c r="V83" s="9"/>
      <c r="W83" s="24">
        <f>U83</f>
        <v>3</v>
      </c>
      <c r="X83" s="48">
        <f t="shared" si="51"/>
        <v>0.6377602835473072</v>
      </c>
    </row>
    <row r="84" spans="1:24" ht="12.75">
      <c r="A84" s="28">
        <f t="shared" si="46"/>
        <v>74</v>
      </c>
      <c r="B84" s="135" t="s">
        <v>17</v>
      </c>
      <c r="C84" s="136"/>
      <c r="D84" s="125">
        <f>'[1]А-4'!$F$94</f>
        <v>6</v>
      </c>
      <c r="E84" s="134">
        <f>'[1]Норматив и фактически 2017'!$F$89</f>
        <v>526.4</v>
      </c>
      <c r="F84" s="127">
        <f t="shared" si="38"/>
        <v>406.733497491223</v>
      </c>
      <c r="G84" s="128">
        <f t="shared" si="39"/>
        <v>260.96021199036863</v>
      </c>
      <c r="H84" s="128">
        <f t="shared" si="40"/>
        <v>145.7732855008543</v>
      </c>
      <c r="I84" s="129">
        <f t="shared" si="41"/>
        <v>68.3</v>
      </c>
      <c r="J84" s="125">
        <f>'[1]А-4'!G94</f>
        <v>49.099999999999994</v>
      </c>
      <c r="K84" s="129">
        <f>'[1]А-4'!$H$94</f>
        <v>19.2</v>
      </c>
      <c r="L84" s="129">
        <f>'[1]А-4'!$Q$94</f>
        <v>15</v>
      </c>
      <c r="M84" s="130">
        <f>'[1]А-4'!$AC$94</f>
        <v>5</v>
      </c>
      <c r="N84" s="130">
        <f t="shared" si="47"/>
        <v>3.0549898167006115</v>
      </c>
      <c r="O84" s="130">
        <f t="shared" si="48"/>
        <v>2.604</v>
      </c>
      <c r="P84" s="129">
        <f t="shared" si="50"/>
        <v>1.6</v>
      </c>
      <c r="Q84" s="129">
        <f t="shared" si="49"/>
        <v>1.4</v>
      </c>
      <c r="R84" s="131">
        <f t="shared" si="42"/>
        <v>417</v>
      </c>
      <c r="S84" s="131">
        <f t="shared" si="43"/>
        <v>204</v>
      </c>
      <c r="T84" s="131">
        <f t="shared" si="44"/>
        <v>621</v>
      </c>
      <c r="U84" s="132">
        <v>0</v>
      </c>
      <c r="V84" s="133"/>
      <c r="W84" s="132">
        <f>IF(V84&lt;=U84,V84,U84)</f>
        <v>0</v>
      </c>
      <c r="X84" s="48">
        <f t="shared" si="51"/>
        <v>1.5267982692116495</v>
      </c>
    </row>
    <row r="85" spans="1:24" ht="12.75">
      <c r="A85" s="28">
        <f t="shared" si="46"/>
        <v>75</v>
      </c>
      <c r="B85" s="42" t="s">
        <v>65</v>
      </c>
      <c r="C85" s="43"/>
      <c r="D85" s="18">
        <f>'[1]А-4'!$F$96</f>
        <v>7</v>
      </c>
      <c r="E85" s="92">
        <f>'[1]Норматив и фактически 2017'!$F$90</f>
        <v>500.425</v>
      </c>
      <c r="F85" s="112">
        <f t="shared" si="38"/>
        <v>386.66339377288233</v>
      </c>
      <c r="G85" s="70">
        <f t="shared" si="39"/>
        <v>248.08323344468127</v>
      </c>
      <c r="H85" s="70">
        <f t="shared" si="40"/>
        <v>138.58016032820103</v>
      </c>
      <c r="I85" s="26">
        <f t="shared" si="41"/>
        <v>76.8</v>
      </c>
      <c r="J85" s="19">
        <f>'[1]А-4'!G96</f>
        <v>41.8</v>
      </c>
      <c r="K85" s="26">
        <f>'[1]А-4'!$H$96</f>
        <v>35</v>
      </c>
      <c r="L85" s="26">
        <f>'[1]А-4'!$Q$96</f>
        <v>21</v>
      </c>
      <c r="M85" s="21">
        <f>'[1]А-4'!$AC$96</f>
        <v>15</v>
      </c>
      <c r="N85" s="21">
        <f>L85*10/J85</f>
        <v>5.023923444976077</v>
      </c>
      <c r="O85" s="21">
        <f>ROUND(M85/K85*10,3)</f>
        <v>4.286</v>
      </c>
      <c r="P85" s="26">
        <f t="shared" si="50"/>
        <v>2.7</v>
      </c>
      <c r="Q85" s="26">
        <f t="shared" si="49"/>
        <v>2.3</v>
      </c>
      <c r="R85" s="22">
        <f t="shared" si="42"/>
        <v>669</v>
      </c>
      <c r="S85" s="22">
        <f t="shared" si="43"/>
        <v>318</v>
      </c>
      <c r="T85" s="16">
        <f t="shared" si="44"/>
        <v>987</v>
      </c>
      <c r="U85" s="24">
        <f>ROUNDDOWN(IF(T85&lt;$O$3,"0",T85*7/100),0)</f>
        <v>69</v>
      </c>
      <c r="V85" s="9">
        <v>0</v>
      </c>
      <c r="W85" s="24">
        <f>IF(V85&lt;=U85,V85,U85)</f>
        <v>0</v>
      </c>
      <c r="X85" s="48">
        <f t="shared" si="51"/>
        <v>2.55260781314029</v>
      </c>
    </row>
    <row r="86" spans="1:23" ht="12.75">
      <c r="A86" s="28">
        <f t="shared" si="46"/>
        <v>76</v>
      </c>
      <c r="B86" s="189"/>
      <c r="C86" s="189"/>
      <c r="D86" s="9"/>
      <c r="E86" s="9"/>
      <c r="F86" s="10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9"/>
      <c r="U86" s="9"/>
      <c r="V86" s="9"/>
      <c r="W86" s="9"/>
    </row>
    <row r="87" spans="1:23" ht="12.75">
      <c r="A87" s="28">
        <f t="shared" si="46"/>
        <v>77</v>
      </c>
      <c r="B87" s="189"/>
      <c r="C87" s="189"/>
      <c r="D87" s="9"/>
      <c r="E87" s="9"/>
      <c r="F87" s="10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9"/>
      <c r="U87" s="9"/>
      <c r="V87" s="9"/>
      <c r="W87" s="9"/>
    </row>
    <row r="88" spans="1:23" ht="15" customHeight="1">
      <c r="A88" s="28">
        <f t="shared" si="46"/>
        <v>78</v>
      </c>
      <c r="B88" s="189"/>
      <c r="C88" s="189"/>
      <c r="D88" s="9"/>
      <c r="E88" s="9"/>
      <c r="F88" s="10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9"/>
      <c r="U88" s="9"/>
      <c r="V88" s="9"/>
      <c r="W88" s="9"/>
    </row>
    <row r="89" spans="1:30" ht="30.75" customHeight="1">
      <c r="A89" s="194" t="s">
        <v>90</v>
      </c>
      <c r="B89" s="195"/>
      <c r="C89" s="196"/>
      <c r="D89" s="78">
        <f aca="true" t="shared" si="52" ref="D89:M89">SUM(D90:D112)</f>
        <v>41</v>
      </c>
      <c r="E89" s="78">
        <f t="shared" si="52"/>
        <v>10197.523000000001</v>
      </c>
      <c r="F89" s="78">
        <f t="shared" si="52"/>
        <v>6322.224365320526</v>
      </c>
      <c r="G89" s="78">
        <f t="shared" si="52"/>
        <v>2153.349618828171</v>
      </c>
      <c r="H89" s="78">
        <f t="shared" si="52"/>
        <v>4168.8747464923545</v>
      </c>
      <c r="I89" s="78">
        <f t="shared" si="52"/>
        <v>577.4200000000001</v>
      </c>
      <c r="J89" s="78">
        <f t="shared" si="52"/>
        <v>357.7400000000001</v>
      </c>
      <c r="K89" s="78">
        <f t="shared" si="52"/>
        <v>219.67999999999998</v>
      </c>
      <c r="L89" s="78">
        <f t="shared" si="52"/>
        <v>107</v>
      </c>
      <c r="M89" s="78">
        <f t="shared" si="52"/>
        <v>17</v>
      </c>
      <c r="N89" s="74">
        <f>ROUND(L89/J89*10,2)</f>
        <v>2.99</v>
      </c>
      <c r="O89" s="74">
        <f>ROUND(M89/K89*10,3)</f>
        <v>0.774</v>
      </c>
      <c r="P89" s="76">
        <f aca="true" t="shared" si="53" ref="P89:P106">ROUND(N89*$M$5,1)</f>
        <v>1.6</v>
      </c>
      <c r="Q89" s="76">
        <f aca="true" t="shared" si="54" ref="Q89:Q106">ROUND(O89*$M$5,1)</f>
        <v>0.4</v>
      </c>
      <c r="R89" s="78">
        <f aca="true" t="shared" si="55" ref="R89:W89">SUM(R90:R112)</f>
        <v>2207</v>
      </c>
      <c r="S89" s="78">
        <f t="shared" si="55"/>
        <v>510</v>
      </c>
      <c r="T89" s="78">
        <f t="shared" si="55"/>
        <v>2717</v>
      </c>
      <c r="U89" s="78">
        <f t="shared" si="55"/>
        <v>117</v>
      </c>
      <c r="V89" s="78">
        <f t="shared" si="55"/>
        <v>118</v>
      </c>
      <c r="W89" s="78">
        <f t="shared" si="55"/>
        <v>73</v>
      </c>
      <c r="X89" s="48"/>
      <c r="Y89" s="53">
        <f>6325/10202</f>
        <v>0.619976475200941</v>
      </c>
      <c r="AB89">
        <v>3408</v>
      </c>
      <c r="AD89" s="20">
        <f>AB89-T89</f>
        <v>691</v>
      </c>
    </row>
    <row r="90" spans="1:24" ht="12.75">
      <c r="A90" s="28">
        <v>79</v>
      </c>
      <c r="B90" s="80" t="s">
        <v>33</v>
      </c>
      <c r="C90" s="81"/>
      <c r="D90" s="18">
        <f>'[1]А-4'!$F$111</f>
        <v>0</v>
      </c>
      <c r="E90" s="95">
        <f>'[1]Норматив и фактически 2017'!$F$95</f>
        <v>215.5</v>
      </c>
      <c r="F90" s="112">
        <f aca="true" t="shared" si="56" ref="F90:F106">E90*$Y$89</f>
        <v>133.60493040580278</v>
      </c>
      <c r="G90" s="70">
        <f aca="true" t="shared" si="57" ref="G90:G106">F90*0.3406</f>
        <v>45.50583929621643</v>
      </c>
      <c r="H90" s="70">
        <f aca="true" t="shared" si="58" ref="H90:H106">F90*0.6594</f>
        <v>88.09909110958635</v>
      </c>
      <c r="I90" s="26">
        <f aca="true" t="shared" si="59" ref="I90:I106">J90+K90</f>
        <v>0</v>
      </c>
      <c r="J90" s="19">
        <f>'[1]А-4'!G111</f>
        <v>0</v>
      </c>
      <c r="K90" s="26">
        <f>'[1]А-4'!$H$111</f>
        <v>0</v>
      </c>
      <c r="L90" s="26">
        <f>'[1]А-4'!$Q$111</f>
        <v>0</v>
      </c>
      <c r="M90" s="21">
        <f>'[1]А-4'!$AC$111</f>
        <v>0</v>
      </c>
      <c r="N90" s="21"/>
      <c r="O90" s="21"/>
      <c r="P90" s="26">
        <f t="shared" si="53"/>
        <v>0</v>
      </c>
      <c r="Q90" s="26">
        <f t="shared" si="54"/>
        <v>0</v>
      </c>
      <c r="R90" s="22">
        <f aca="true" t="shared" si="60" ref="R90:R106">ROUNDDOWN((P90*G90),0)</f>
        <v>0</v>
      </c>
      <c r="S90" s="22">
        <f aca="true" t="shared" si="61" ref="S90:S106">ROUNDDOWN((Q90*H90),0)</f>
        <v>0</v>
      </c>
      <c r="T90" s="16">
        <f aca="true" t="shared" si="62" ref="T90:T106">R90+S90</f>
        <v>0</v>
      </c>
      <c r="U90" s="24">
        <f aca="true" t="shared" si="63" ref="U90:U104">ROUNDDOWN(IF(T90&lt;$O$3,"0",T90*5/100),0)</f>
        <v>0</v>
      </c>
      <c r="V90" s="9">
        <v>0</v>
      </c>
      <c r="W90" s="24">
        <f aca="true" t="shared" si="64" ref="W90:W106">IF(V90&lt;=U90,V90,U90)</f>
        <v>0</v>
      </c>
      <c r="X90" s="48">
        <f aca="true" t="shared" si="65" ref="X90:X106">T90/F90</f>
        <v>0</v>
      </c>
    </row>
    <row r="91" spans="1:24" ht="12.75">
      <c r="A91" s="28">
        <v>80</v>
      </c>
      <c r="B91" s="192" t="s">
        <v>71</v>
      </c>
      <c r="C91" s="193"/>
      <c r="D91" s="18">
        <f>'[1]А-4'!$F$112</f>
        <v>0</v>
      </c>
      <c r="E91" s="95">
        <f>'[1]Норматив и фактически 2017'!$F$96</f>
        <v>917.285</v>
      </c>
      <c r="F91" s="112">
        <f t="shared" si="56"/>
        <v>568.6951210546952</v>
      </c>
      <c r="G91" s="70">
        <f t="shared" si="57"/>
        <v>193.69755823122918</v>
      </c>
      <c r="H91" s="70">
        <f t="shared" si="58"/>
        <v>374.99756282346596</v>
      </c>
      <c r="I91" s="26">
        <f t="shared" si="59"/>
        <v>0</v>
      </c>
      <c r="J91" s="19">
        <f>'[1]А-4'!G112</f>
        <v>0</v>
      </c>
      <c r="K91" s="26">
        <f>'[1]А-4'!$H$112</f>
        <v>0</v>
      </c>
      <c r="L91" s="26">
        <f>'[1]А-4'!$Q$112</f>
        <v>0</v>
      </c>
      <c r="M91" s="21">
        <f>'[1]А-4'!$AC$112</f>
        <v>0</v>
      </c>
      <c r="N91" s="21"/>
      <c r="O91" s="21"/>
      <c r="P91" s="26">
        <f t="shared" si="53"/>
        <v>0</v>
      </c>
      <c r="Q91" s="26">
        <f t="shared" si="54"/>
        <v>0</v>
      </c>
      <c r="R91" s="22">
        <f t="shared" si="60"/>
        <v>0</v>
      </c>
      <c r="S91" s="22">
        <f t="shared" si="61"/>
        <v>0</v>
      </c>
      <c r="T91" s="16">
        <f t="shared" si="62"/>
        <v>0</v>
      </c>
      <c r="U91" s="24">
        <f t="shared" si="63"/>
        <v>0</v>
      </c>
      <c r="V91" s="9">
        <v>28</v>
      </c>
      <c r="W91" s="24">
        <f t="shared" si="64"/>
        <v>0</v>
      </c>
      <c r="X91" s="48">
        <f t="shared" si="65"/>
        <v>0</v>
      </c>
    </row>
    <row r="92" spans="1:24" ht="12.75">
      <c r="A92" s="28">
        <v>81</v>
      </c>
      <c r="B92" s="10" t="s">
        <v>69</v>
      </c>
      <c r="C92" s="10"/>
      <c r="D92" s="18">
        <f>'[1]А-4'!$F$113</f>
        <v>2</v>
      </c>
      <c r="E92" s="95">
        <f>'[1]Норматив и фактически 2017'!$F$97</f>
        <v>306.857</v>
      </c>
      <c r="F92" s="112">
        <f t="shared" si="56"/>
        <v>190.24412125073516</v>
      </c>
      <c r="G92" s="70">
        <f t="shared" si="57"/>
        <v>64.7971476980004</v>
      </c>
      <c r="H92" s="70">
        <f t="shared" si="58"/>
        <v>125.44697355273476</v>
      </c>
      <c r="I92" s="26">
        <f t="shared" si="59"/>
        <v>23.91</v>
      </c>
      <c r="J92" s="19">
        <f>'[1]А-4'!G113</f>
        <v>6.2</v>
      </c>
      <c r="K92" s="26">
        <f>'[1]А-4'!$H$113</f>
        <v>17.71</v>
      </c>
      <c r="L92" s="26">
        <f>'[1]А-4'!$Q$113</f>
        <v>0</v>
      </c>
      <c r="M92" s="21">
        <f>'[1]А-4'!$AC$113</f>
        <v>0</v>
      </c>
      <c r="N92" s="21">
        <f aca="true" t="shared" si="66" ref="N92:N104">L92*10/J92</f>
        <v>0</v>
      </c>
      <c r="O92" s="21">
        <f>ROUND(M92/K92*10,3)</f>
        <v>0</v>
      </c>
      <c r="P92" s="26">
        <f t="shared" si="53"/>
        <v>0</v>
      </c>
      <c r="Q92" s="26">
        <f t="shared" si="54"/>
        <v>0</v>
      </c>
      <c r="R92" s="22">
        <f t="shared" si="60"/>
        <v>0</v>
      </c>
      <c r="S92" s="22">
        <f t="shared" si="61"/>
        <v>0</v>
      </c>
      <c r="T92" s="16">
        <f t="shared" si="62"/>
        <v>0</v>
      </c>
      <c r="U92" s="24">
        <f t="shared" si="63"/>
        <v>0</v>
      </c>
      <c r="V92" s="9">
        <v>1</v>
      </c>
      <c r="W92" s="24">
        <f t="shared" si="64"/>
        <v>0</v>
      </c>
      <c r="X92" s="48">
        <f t="shared" si="65"/>
        <v>0</v>
      </c>
    </row>
    <row r="93" spans="1:24" ht="12.75">
      <c r="A93" s="28">
        <v>82</v>
      </c>
      <c r="B93" s="10" t="s">
        <v>68</v>
      </c>
      <c r="C93" s="10"/>
      <c r="D93" s="18">
        <f>'[1]А-4'!$F$114</f>
        <v>0</v>
      </c>
      <c r="E93" s="95">
        <f>'[1]Норматив и фактически 2017'!$F$98</f>
        <v>176.709</v>
      </c>
      <c r="F93" s="112">
        <f t="shared" si="56"/>
        <v>109.55542295628308</v>
      </c>
      <c r="G93" s="70">
        <f t="shared" si="57"/>
        <v>37.31457705891002</v>
      </c>
      <c r="H93" s="70">
        <f t="shared" si="58"/>
        <v>72.24084589737306</v>
      </c>
      <c r="I93" s="26">
        <f t="shared" si="59"/>
        <v>0</v>
      </c>
      <c r="J93" s="19">
        <f>'[1]А-4'!G114</f>
        <v>0</v>
      </c>
      <c r="K93" s="26">
        <f>'[1]А-4'!$H$114</f>
        <v>0</v>
      </c>
      <c r="L93" s="26">
        <f>'[1]А-4'!$Q$114</f>
        <v>0</v>
      </c>
      <c r="M93" s="21">
        <f>'[1]А-4'!$AC$114</f>
        <v>0</v>
      </c>
      <c r="N93" s="21"/>
      <c r="O93" s="21"/>
      <c r="P93" s="26">
        <f t="shared" si="53"/>
        <v>0</v>
      </c>
      <c r="Q93" s="26">
        <f t="shared" si="54"/>
        <v>0</v>
      </c>
      <c r="R93" s="22">
        <f t="shared" si="60"/>
        <v>0</v>
      </c>
      <c r="S93" s="22">
        <f t="shared" si="61"/>
        <v>0</v>
      </c>
      <c r="T93" s="16">
        <f t="shared" si="62"/>
        <v>0</v>
      </c>
      <c r="U93" s="24">
        <f t="shared" si="63"/>
        <v>0</v>
      </c>
      <c r="V93" s="9">
        <v>0</v>
      </c>
      <c r="W93" s="24">
        <f t="shared" si="64"/>
        <v>0</v>
      </c>
      <c r="X93" s="48">
        <f t="shared" si="65"/>
        <v>0</v>
      </c>
    </row>
    <row r="94" spans="1:24" ht="16.5" customHeight="1">
      <c r="A94" s="28">
        <v>83</v>
      </c>
      <c r="B94" s="12" t="s">
        <v>53</v>
      </c>
      <c r="C94" s="9"/>
      <c r="D94" s="18">
        <f>'[1]А-4'!$F$115</f>
        <v>0</v>
      </c>
      <c r="E94" s="95">
        <f>'[1]Норматив и фактически 2017'!$F$99</f>
        <v>344.676</v>
      </c>
      <c r="F94" s="112">
        <f t="shared" si="56"/>
        <v>213.69101156635955</v>
      </c>
      <c r="G94" s="70">
        <f t="shared" si="57"/>
        <v>72.78315853950207</v>
      </c>
      <c r="H94" s="70">
        <f t="shared" si="58"/>
        <v>140.90785302685748</v>
      </c>
      <c r="I94" s="26">
        <f t="shared" si="59"/>
        <v>0</v>
      </c>
      <c r="J94" s="19">
        <f>'[1]А-4'!G115</f>
        <v>0</v>
      </c>
      <c r="K94" s="26">
        <f>'[1]А-4'!$H$115</f>
        <v>0</v>
      </c>
      <c r="L94" s="26">
        <f>'[1]А-4'!$Q$115</f>
        <v>0</v>
      </c>
      <c r="M94" s="21">
        <f>'[1]А-4'!$AC$115</f>
        <v>0</v>
      </c>
      <c r="N94" s="21"/>
      <c r="O94" s="21"/>
      <c r="P94" s="26">
        <f t="shared" si="53"/>
        <v>0</v>
      </c>
      <c r="Q94" s="26">
        <f t="shared" si="54"/>
        <v>0</v>
      </c>
      <c r="R94" s="22">
        <f t="shared" si="60"/>
        <v>0</v>
      </c>
      <c r="S94" s="22">
        <f t="shared" si="61"/>
        <v>0</v>
      </c>
      <c r="T94" s="16">
        <f t="shared" si="62"/>
        <v>0</v>
      </c>
      <c r="U94" s="24">
        <f t="shared" si="63"/>
        <v>0</v>
      </c>
      <c r="V94" s="9">
        <v>30</v>
      </c>
      <c r="W94" s="24">
        <f t="shared" si="64"/>
        <v>0</v>
      </c>
      <c r="X94" s="48">
        <f t="shared" si="65"/>
        <v>0</v>
      </c>
    </row>
    <row r="95" spans="1:24" ht="15.75" customHeight="1">
      <c r="A95" s="28">
        <v>84</v>
      </c>
      <c r="B95" s="11" t="s">
        <v>54</v>
      </c>
      <c r="C95" s="7"/>
      <c r="D95" s="18">
        <f>'[1]А-4'!$F$116</f>
        <v>2</v>
      </c>
      <c r="E95" s="95">
        <f>'[1]Норматив и фактически 2017'!$F$100</f>
        <v>474.722</v>
      </c>
      <c r="F95" s="112">
        <f t="shared" si="56"/>
        <v>294.31647226034113</v>
      </c>
      <c r="G95" s="70">
        <f t="shared" si="57"/>
        <v>100.24419045187219</v>
      </c>
      <c r="H95" s="70">
        <f t="shared" si="58"/>
        <v>194.07228180846894</v>
      </c>
      <c r="I95" s="26">
        <f t="shared" si="59"/>
        <v>19.5</v>
      </c>
      <c r="J95" s="19">
        <f>'[1]А-4'!G116</f>
        <v>14.4</v>
      </c>
      <c r="K95" s="26">
        <f>'[1]А-4'!$H$116</f>
        <v>5.1</v>
      </c>
      <c r="L95" s="26">
        <f>'[1]А-4'!$Q$116</f>
        <v>13</v>
      </c>
      <c r="M95" s="21">
        <f>'[1]А-4'!$AC$116</f>
        <v>0</v>
      </c>
      <c r="N95" s="21">
        <f t="shared" si="66"/>
        <v>9.027777777777777</v>
      </c>
      <c r="O95" s="21">
        <f>ROUND(M95/K95*10,3)</f>
        <v>0</v>
      </c>
      <c r="P95" s="26">
        <f t="shared" si="53"/>
        <v>4.9</v>
      </c>
      <c r="Q95" s="26">
        <f t="shared" si="54"/>
        <v>0</v>
      </c>
      <c r="R95" s="22">
        <f t="shared" si="60"/>
        <v>491</v>
      </c>
      <c r="S95" s="22">
        <f t="shared" si="61"/>
        <v>0</v>
      </c>
      <c r="T95" s="16">
        <f t="shared" si="62"/>
        <v>491</v>
      </c>
      <c r="U95" s="24">
        <f t="shared" si="63"/>
        <v>24</v>
      </c>
      <c r="V95" s="9">
        <v>40</v>
      </c>
      <c r="W95" s="24">
        <f t="shared" si="64"/>
        <v>24</v>
      </c>
      <c r="X95" s="48">
        <f t="shared" si="65"/>
        <v>1.6682722384823916</v>
      </c>
    </row>
    <row r="96" spans="1:24" ht="12.75">
      <c r="A96" s="28">
        <v>85</v>
      </c>
      <c r="B96" s="80" t="s">
        <v>40</v>
      </c>
      <c r="C96" s="81"/>
      <c r="D96" s="18">
        <f>'[1]А-4'!$F$117</f>
        <v>3</v>
      </c>
      <c r="E96" s="95">
        <f>'[1]Норматив и фактически 2017'!$F$101</f>
        <v>75.842</v>
      </c>
      <c r="F96" s="112">
        <f t="shared" si="56"/>
        <v>47.02025583218977</v>
      </c>
      <c r="G96" s="70">
        <f t="shared" si="57"/>
        <v>16.015099136443837</v>
      </c>
      <c r="H96" s="70">
        <f t="shared" si="58"/>
        <v>31.00515669574593</v>
      </c>
      <c r="I96" s="26">
        <f t="shared" si="59"/>
        <v>30.900000000000002</v>
      </c>
      <c r="J96" s="19">
        <f>'[1]А-4'!G117</f>
        <v>30.900000000000002</v>
      </c>
      <c r="K96" s="26">
        <f>'[1]А-4'!$H$117</f>
        <v>0</v>
      </c>
      <c r="L96" s="26">
        <f>'[1]А-4'!$Q$117</f>
        <v>7</v>
      </c>
      <c r="M96" s="21">
        <f>'[1]А-4'!$AC$117</f>
        <v>0</v>
      </c>
      <c r="N96" s="21">
        <f t="shared" si="66"/>
        <v>2.2653721682847894</v>
      </c>
      <c r="O96" s="21"/>
      <c r="P96" s="26">
        <f t="shared" si="53"/>
        <v>1.2</v>
      </c>
      <c r="Q96" s="26">
        <f t="shared" si="54"/>
        <v>0</v>
      </c>
      <c r="R96" s="22">
        <f t="shared" si="60"/>
        <v>19</v>
      </c>
      <c r="S96" s="22">
        <f t="shared" si="61"/>
        <v>0</v>
      </c>
      <c r="T96" s="16">
        <f t="shared" si="62"/>
        <v>19</v>
      </c>
      <c r="U96" s="24">
        <f t="shared" si="63"/>
        <v>0</v>
      </c>
      <c r="V96" s="9">
        <v>0</v>
      </c>
      <c r="W96" s="24">
        <f t="shared" si="64"/>
        <v>0</v>
      </c>
      <c r="X96" s="48">
        <f t="shared" si="65"/>
        <v>0.40408117020479334</v>
      </c>
    </row>
    <row r="97" spans="1:24" ht="12.75">
      <c r="A97" s="28">
        <v>86</v>
      </c>
      <c r="B97" s="33" t="s">
        <v>46</v>
      </c>
      <c r="C97" s="34"/>
      <c r="D97" s="18">
        <f>'[1]А-4'!$F$118</f>
        <v>4</v>
      </c>
      <c r="E97" s="95">
        <f>'[1]Норматив и фактически 2017'!$F$102</f>
        <v>243.367</v>
      </c>
      <c r="F97" s="112">
        <f t="shared" si="56"/>
        <v>150.8818148402274</v>
      </c>
      <c r="G97" s="70">
        <f t="shared" si="57"/>
        <v>51.390346134581456</v>
      </c>
      <c r="H97" s="70">
        <f t="shared" si="58"/>
        <v>99.49146870564594</v>
      </c>
      <c r="I97" s="26">
        <f t="shared" si="59"/>
        <v>46.02</v>
      </c>
      <c r="J97" s="19">
        <f>'[1]А-4'!G118</f>
        <v>32.84</v>
      </c>
      <c r="K97" s="26">
        <f>'[1]А-4'!$H$118</f>
        <v>13.18</v>
      </c>
      <c r="L97" s="26">
        <f>'[1]А-4'!$Q$118</f>
        <v>28</v>
      </c>
      <c r="M97" s="21">
        <f>'[1]А-4'!$AC$118</f>
        <v>5</v>
      </c>
      <c r="N97" s="21">
        <f t="shared" si="66"/>
        <v>8.526187576126674</v>
      </c>
      <c r="O97" s="21">
        <f>ROUND(M97/K97*10,3)</f>
        <v>3.794</v>
      </c>
      <c r="P97" s="26">
        <f t="shared" si="53"/>
        <v>4.6</v>
      </c>
      <c r="Q97" s="26">
        <f t="shared" si="54"/>
        <v>2</v>
      </c>
      <c r="R97" s="22">
        <f t="shared" si="60"/>
        <v>236</v>
      </c>
      <c r="S97" s="22">
        <f t="shared" si="61"/>
        <v>198</v>
      </c>
      <c r="T97" s="16">
        <f t="shared" si="62"/>
        <v>434</v>
      </c>
      <c r="U97" s="24">
        <f>ROUNDDOWN(IF(T97&lt;$O$3,"0",T97*7/100),0)</f>
        <v>30</v>
      </c>
      <c r="V97" s="9">
        <v>4</v>
      </c>
      <c r="W97" s="24">
        <f t="shared" si="64"/>
        <v>4</v>
      </c>
      <c r="X97" s="48">
        <f t="shared" si="65"/>
        <v>2.8764235137254524</v>
      </c>
    </row>
    <row r="98" spans="1:24" ht="12.75">
      <c r="A98" s="28">
        <v>87</v>
      </c>
      <c r="B98" s="137" t="s">
        <v>18</v>
      </c>
      <c r="C98" s="138"/>
      <c r="D98" s="125">
        <f>'[1]А-4'!$F$119</f>
        <v>0</v>
      </c>
      <c r="E98" s="134">
        <f>'[1]Норматив и фактически 2017'!$F$103</f>
        <v>350</v>
      </c>
      <c r="F98" s="127">
        <f t="shared" si="56"/>
        <v>216.99176632032936</v>
      </c>
      <c r="G98" s="128">
        <f t="shared" si="57"/>
        <v>73.90739560870418</v>
      </c>
      <c r="H98" s="128">
        <f t="shared" si="58"/>
        <v>143.08437071162518</v>
      </c>
      <c r="I98" s="129">
        <f t="shared" si="59"/>
        <v>0</v>
      </c>
      <c r="J98" s="125">
        <f>'[1]А-4'!G119</f>
        <v>0</v>
      </c>
      <c r="K98" s="129">
        <f>'[1]А-4'!$H$119</f>
        <v>0</v>
      </c>
      <c r="L98" s="129">
        <f>'[1]А-4'!$Q$119</f>
        <v>0</v>
      </c>
      <c r="M98" s="130">
        <f>'[1]А-4'!$AC$119</f>
        <v>0</v>
      </c>
      <c r="N98" s="130"/>
      <c r="O98" s="130"/>
      <c r="P98" s="129">
        <f t="shared" si="53"/>
        <v>0</v>
      </c>
      <c r="Q98" s="129">
        <f t="shared" si="54"/>
        <v>0</v>
      </c>
      <c r="R98" s="131">
        <f t="shared" si="60"/>
        <v>0</v>
      </c>
      <c r="S98" s="131">
        <f t="shared" si="61"/>
        <v>0</v>
      </c>
      <c r="T98" s="131">
        <f t="shared" si="62"/>
        <v>0</v>
      </c>
      <c r="U98" s="132">
        <f t="shared" si="63"/>
        <v>0</v>
      </c>
      <c r="V98" s="133"/>
      <c r="W98" s="132">
        <f t="shared" si="64"/>
        <v>0</v>
      </c>
      <c r="X98" s="48">
        <f t="shared" si="65"/>
        <v>0</v>
      </c>
    </row>
    <row r="99" spans="1:24" ht="12.75">
      <c r="A99" s="28">
        <v>88</v>
      </c>
      <c r="B99" s="33" t="s">
        <v>29</v>
      </c>
      <c r="C99" s="34"/>
      <c r="D99" s="18">
        <f>'[1]А-4'!$F$120</f>
        <v>18</v>
      </c>
      <c r="E99" s="95">
        <f>'[1]Норматив и фактически 2017'!$F$104</f>
        <v>5398</v>
      </c>
      <c r="F99" s="112">
        <f t="shared" si="56"/>
        <v>3346.6330131346795</v>
      </c>
      <c r="G99" s="70">
        <f t="shared" si="57"/>
        <v>1139.863204273672</v>
      </c>
      <c r="H99" s="70">
        <f t="shared" si="58"/>
        <v>2206.7698088610077</v>
      </c>
      <c r="I99" s="26">
        <f t="shared" si="59"/>
        <v>328.88</v>
      </c>
      <c r="J99" s="19">
        <f>'[1]А-4'!G120</f>
        <v>198.86</v>
      </c>
      <c r="K99" s="26">
        <f>'[1]А-4'!$H$120</f>
        <v>130.01999999999998</v>
      </c>
      <c r="L99" s="26">
        <f>'[1]А-4'!$Q$120</f>
        <v>36</v>
      </c>
      <c r="M99" s="21">
        <f>'[1]А-4'!$AC$120</f>
        <v>1</v>
      </c>
      <c r="N99" s="21">
        <f t="shared" si="66"/>
        <v>1.8103188172583726</v>
      </c>
      <c r="O99" s="21">
        <f>ROUND(M99/K99*10,3)</f>
        <v>0.077</v>
      </c>
      <c r="P99" s="26">
        <f t="shared" si="53"/>
        <v>1</v>
      </c>
      <c r="Q99" s="26">
        <f t="shared" si="54"/>
        <v>0</v>
      </c>
      <c r="R99" s="22">
        <f t="shared" si="60"/>
        <v>1139</v>
      </c>
      <c r="S99" s="22">
        <f t="shared" si="61"/>
        <v>0</v>
      </c>
      <c r="T99" s="16">
        <f t="shared" si="62"/>
        <v>1139</v>
      </c>
      <c r="U99" s="24">
        <v>32</v>
      </c>
      <c r="V99" s="9"/>
      <c r="W99" s="24">
        <v>32</v>
      </c>
      <c r="X99" s="48">
        <f t="shared" si="65"/>
        <v>0.3403420678424303</v>
      </c>
    </row>
    <row r="100" spans="1:24" ht="12.75">
      <c r="A100" s="28">
        <v>89</v>
      </c>
      <c r="B100" s="42" t="s">
        <v>70</v>
      </c>
      <c r="C100" s="43"/>
      <c r="D100" s="18">
        <f>'[1]А-4'!$F$121</f>
        <v>0</v>
      </c>
      <c r="E100" s="95">
        <f>'[1]Норматив и фактически 2017'!$F$105</f>
        <v>255.665</v>
      </c>
      <c r="F100" s="112">
        <f t="shared" si="56"/>
        <v>158.50628553224857</v>
      </c>
      <c r="G100" s="70">
        <f t="shared" si="57"/>
        <v>53.98724085228387</v>
      </c>
      <c r="H100" s="70">
        <f t="shared" si="58"/>
        <v>104.51904467996471</v>
      </c>
      <c r="I100" s="26">
        <f t="shared" si="59"/>
        <v>0</v>
      </c>
      <c r="J100" s="19">
        <f>'[1]А-4'!G121</f>
        <v>0</v>
      </c>
      <c r="K100" s="26">
        <f>'[1]А-4'!$H$121</f>
        <v>0</v>
      </c>
      <c r="L100" s="26">
        <f>'[1]А-4'!$Q$121</f>
        <v>0</v>
      </c>
      <c r="M100" s="21">
        <f>'[1]А-4'!$AC$121</f>
        <v>0</v>
      </c>
      <c r="N100" s="21"/>
      <c r="O100" s="21"/>
      <c r="P100" s="26">
        <f t="shared" si="53"/>
        <v>0</v>
      </c>
      <c r="Q100" s="26">
        <f t="shared" si="54"/>
        <v>0</v>
      </c>
      <c r="R100" s="22">
        <f t="shared" si="60"/>
        <v>0</v>
      </c>
      <c r="S100" s="22">
        <f t="shared" si="61"/>
        <v>0</v>
      </c>
      <c r="T100" s="16">
        <f t="shared" si="62"/>
        <v>0</v>
      </c>
      <c r="U100" s="24">
        <f t="shared" si="63"/>
        <v>0</v>
      </c>
      <c r="V100" s="9">
        <v>0</v>
      </c>
      <c r="W100" s="24">
        <f t="shared" si="64"/>
        <v>0</v>
      </c>
      <c r="X100" s="48">
        <f t="shared" si="65"/>
        <v>0</v>
      </c>
    </row>
    <row r="101" spans="1:24" ht="12.75">
      <c r="A101" s="28">
        <v>90</v>
      </c>
      <c r="B101" s="8" t="s">
        <v>43</v>
      </c>
      <c r="C101" s="9"/>
      <c r="D101" s="18">
        <f>'[1]А-4'!$F$122</f>
        <v>1</v>
      </c>
      <c r="E101" s="95">
        <f>'[1]Норматив и фактически 2017'!$F$106</f>
        <v>190.214</v>
      </c>
      <c r="F101" s="112">
        <f t="shared" si="56"/>
        <v>117.9282052538718</v>
      </c>
      <c r="G101" s="70">
        <f t="shared" si="57"/>
        <v>40.16634670946873</v>
      </c>
      <c r="H101" s="70">
        <f t="shared" si="58"/>
        <v>77.76185854440305</v>
      </c>
      <c r="I101" s="26">
        <f t="shared" si="59"/>
        <v>10.6</v>
      </c>
      <c r="J101" s="26">
        <f>'[1]А-4'!G122</f>
        <v>10.6</v>
      </c>
      <c r="K101" s="26">
        <f>'[1]А-4'!$H$122</f>
        <v>0</v>
      </c>
      <c r="L101" s="26">
        <f>'[1]А-4'!$Q$122</f>
        <v>5</v>
      </c>
      <c r="M101" s="21">
        <f>'[1]А-4'!$AC$122</f>
        <v>0</v>
      </c>
      <c r="N101" s="21">
        <f t="shared" si="66"/>
        <v>4.716981132075472</v>
      </c>
      <c r="O101" s="21"/>
      <c r="P101" s="26">
        <f t="shared" si="53"/>
        <v>2.5</v>
      </c>
      <c r="Q101" s="26">
        <f t="shared" si="54"/>
        <v>0</v>
      </c>
      <c r="R101" s="22">
        <f t="shared" si="60"/>
        <v>100</v>
      </c>
      <c r="S101" s="22">
        <f t="shared" si="61"/>
        <v>0</v>
      </c>
      <c r="T101" s="16">
        <f t="shared" si="62"/>
        <v>100</v>
      </c>
      <c r="U101" s="24">
        <f>ROUNDDOWN(IF(T101&lt;$O$3,"0",T101*3/100),0)</f>
        <v>3</v>
      </c>
      <c r="V101" s="9">
        <v>5</v>
      </c>
      <c r="W101" s="24">
        <f t="shared" si="64"/>
        <v>3</v>
      </c>
      <c r="X101" s="48">
        <f t="shared" si="65"/>
        <v>0.8479735597156205</v>
      </c>
    </row>
    <row r="102" spans="1:24" ht="12.75">
      <c r="A102" s="28">
        <v>91</v>
      </c>
      <c r="B102" s="13" t="s">
        <v>104</v>
      </c>
      <c r="C102" s="7"/>
      <c r="D102" s="18">
        <f>'[1]А-4'!$F$123</f>
        <v>3</v>
      </c>
      <c r="E102" s="95">
        <f>'[1]Норматив и фактически 2017'!$F$107</f>
        <v>263.685</v>
      </c>
      <c r="F102" s="112">
        <f t="shared" si="56"/>
        <v>163.47849686336014</v>
      </c>
      <c r="G102" s="70">
        <f t="shared" si="57"/>
        <v>55.680776031660464</v>
      </c>
      <c r="H102" s="70">
        <f t="shared" si="58"/>
        <v>107.79772083169966</v>
      </c>
      <c r="I102" s="26">
        <f t="shared" si="59"/>
        <v>34.02</v>
      </c>
      <c r="J102" s="19">
        <f>'[1]А-4'!G123</f>
        <v>22.6</v>
      </c>
      <c r="K102" s="26">
        <f>'[1]А-4'!$H$123</f>
        <v>11.42</v>
      </c>
      <c r="L102" s="26">
        <f>'[1]А-4'!$Q$123</f>
        <v>9</v>
      </c>
      <c r="M102" s="21">
        <f>'[1]А-4'!$AC$123</f>
        <v>3</v>
      </c>
      <c r="N102" s="21">
        <f t="shared" si="66"/>
        <v>3.9823008849557517</v>
      </c>
      <c r="O102" s="21">
        <f>ROUND(M102/K102*10,3)</f>
        <v>2.627</v>
      </c>
      <c r="P102" s="26">
        <f t="shared" si="53"/>
        <v>2.2</v>
      </c>
      <c r="Q102" s="26">
        <f t="shared" si="54"/>
        <v>1.4</v>
      </c>
      <c r="R102" s="22">
        <f t="shared" si="60"/>
        <v>122</v>
      </c>
      <c r="S102" s="22">
        <f t="shared" si="61"/>
        <v>150</v>
      </c>
      <c r="T102" s="16">
        <f t="shared" si="62"/>
        <v>272</v>
      </c>
      <c r="U102" s="24">
        <f t="shared" si="63"/>
        <v>13</v>
      </c>
      <c r="V102" s="9">
        <v>4</v>
      </c>
      <c r="W102" s="24">
        <f t="shared" si="64"/>
        <v>4</v>
      </c>
      <c r="X102" s="48">
        <f t="shared" si="65"/>
        <v>1.6638273853676617</v>
      </c>
    </row>
    <row r="103" spans="1:24" ht="12.75">
      <c r="A103" s="28">
        <v>92</v>
      </c>
      <c r="B103" s="190" t="s">
        <v>139</v>
      </c>
      <c r="C103" s="191"/>
      <c r="D103" s="18">
        <f>'[1]А-4'!$F$124</f>
        <v>0</v>
      </c>
      <c r="E103" s="17">
        <f>'[1]Норматив и фактически 2017'!$F$108</f>
        <v>356.318</v>
      </c>
      <c r="F103" s="114">
        <f t="shared" si="56"/>
        <v>220.9087776906489</v>
      </c>
      <c r="G103" s="70">
        <f t="shared" si="57"/>
        <v>75.24152968143501</v>
      </c>
      <c r="H103" s="70">
        <f t="shared" si="58"/>
        <v>145.66724800921386</v>
      </c>
      <c r="I103" s="26">
        <f t="shared" si="59"/>
        <v>0</v>
      </c>
      <c r="J103" s="19">
        <f>'[1]А-4'!G124</f>
        <v>0</v>
      </c>
      <c r="K103" s="26">
        <f>'[1]А-4'!$H$124</f>
        <v>0</v>
      </c>
      <c r="L103" s="26">
        <f>'[1]А-4'!$Q$124</f>
        <v>0</v>
      </c>
      <c r="M103" s="21">
        <f>'[1]А-4'!$AC$124</f>
        <v>0</v>
      </c>
      <c r="N103" s="21"/>
      <c r="O103" s="21"/>
      <c r="P103" s="26">
        <f t="shared" si="53"/>
        <v>0</v>
      </c>
      <c r="Q103" s="26">
        <f t="shared" si="54"/>
        <v>0</v>
      </c>
      <c r="R103" s="22">
        <f t="shared" si="60"/>
        <v>0</v>
      </c>
      <c r="S103" s="22">
        <f t="shared" si="61"/>
        <v>0</v>
      </c>
      <c r="T103" s="16">
        <f t="shared" si="62"/>
        <v>0</v>
      </c>
      <c r="U103" s="24">
        <f t="shared" si="63"/>
        <v>0</v>
      </c>
      <c r="V103" s="9">
        <v>0</v>
      </c>
      <c r="W103" s="24">
        <f t="shared" si="64"/>
        <v>0</v>
      </c>
      <c r="X103" s="48">
        <f t="shared" si="65"/>
        <v>0</v>
      </c>
    </row>
    <row r="104" spans="1:24" ht="12.75">
      <c r="A104" s="28">
        <v>93</v>
      </c>
      <c r="B104" s="190" t="s">
        <v>140</v>
      </c>
      <c r="C104" s="191"/>
      <c r="D104" s="18">
        <f>'[1]А-4'!$F$125</f>
        <v>8</v>
      </c>
      <c r="E104" s="17">
        <f>'[1]Норматив и фактически 2017'!$F$109</f>
        <v>397.065</v>
      </c>
      <c r="F104" s="114">
        <f t="shared" si="56"/>
        <v>246.17095912566165</v>
      </c>
      <c r="G104" s="70">
        <f t="shared" si="57"/>
        <v>83.84582867820036</v>
      </c>
      <c r="H104" s="70">
        <f t="shared" si="58"/>
        <v>162.32513044746128</v>
      </c>
      <c r="I104" s="26">
        <f t="shared" si="59"/>
        <v>83.59</v>
      </c>
      <c r="J104" s="19">
        <f>'[1]А-4'!G125</f>
        <v>41.34</v>
      </c>
      <c r="K104" s="26">
        <f>'[1]А-4'!$H$125</f>
        <v>42.25</v>
      </c>
      <c r="L104" s="26">
        <f>'[1]А-4'!$Q$125</f>
        <v>9</v>
      </c>
      <c r="M104" s="21">
        <f>'[1]А-4'!$AC$125</f>
        <v>8</v>
      </c>
      <c r="N104" s="21">
        <f t="shared" si="66"/>
        <v>2.1770682148040637</v>
      </c>
      <c r="O104" s="21">
        <f>ROUND(M104/K104*10,3)</f>
        <v>1.893</v>
      </c>
      <c r="P104" s="26">
        <f t="shared" si="53"/>
        <v>1.2</v>
      </c>
      <c r="Q104" s="26">
        <f t="shared" si="54"/>
        <v>1</v>
      </c>
      <c r="R104" s="22">
        <f t="shared" si="60"/>
        <v>100</v>
      </c>
      <c r="S104" s="22">
        <f t="shared" si="61"/>
        <v>162</v>
      </c>
      <c r="T104" s="16">
        <f t="shared" si="62"/>
        <v>262</v>
      </c>
      <c r="U104" s="24">
        <f t="shared" si="63"/>
        <v>13</v>
      </c>
      <c r="V104" s="9">
        <v>6</v>
      </c>
      <c r="W104" s="24">
        <f t="shared" si="64"/>
        <v>6</v>
      </c>
      <c r="X104" s="48">
        <f t="shared" si="65"/>
        <v>1.064301008252798</v>
      </c>
    </row>
    <row r="105" spans="1:24" ht="12.75">
      <c r="A105" s="28">
        <v>94</v>
      </c>
      <c r="B105" s="190" t="s">
        <v>141</v>
      </c>
      <c r="C105" s="191"/>
      <c r="D105" s="18">
        <f>'[1]А-4'!$F$126</f>
        <v>0</v>
      </c>
      <c r="E105" s="17">
        <f>'[1]Норматив и фактически 2017'!$F$110</f>
        <v>114.404</v>
      </c>
      <c r="F105" s="114">
        <f t="shared" si="56"/>
        <v>70.92778866888845</v>
      </c>
      <c r="G105" s="70">
        <f t="shared" si="57"/>
        <v>24.158004820623407</v>
      </c>
      <c r="H105" s="70">
        <f t="shared" si="58"/>
        <v>46.76978384826504</v>
      </c>
      <c r="I105" s="26">
        <f t="shared" si="59"/>
        <v>0</v>
      </c>
      <c r="J105" s="19">
        <f>'[1]А-4'!G126</f>
        <v>0</v>
      </c>
      <c r="K105" s="26">
        <f>'[1]А-4'!$H$126</f>
        <v>0</v>
      </c>
      <c r="L105" s="26">
        <f>'[1]А-4'!$Q$126</f>
        <v>0</v>
      </c>
      <c r="M105" s="21">
        <f>'[1]А-4'!$AC$126</f>
        <v>0</v>
      </c>
      <c r="N105" s="21"/>
      <c r="O105" s="21"/>
      <c r="P105" s="26">
        <f t="shared" si="53"/>
        <v>0</v>
      </c>
      <c r="Q105" s="26">
        <f t="shared" si="54"/>
        <v>0</v>
      </c>
      <c r="R105" s="22">
        <f t="shared" si="60"/>
        <v>0</v>
      </c>
      <c r="S105" s="22">
        <f t="shared" si="61"/>
        <v>0</v>
      </c>
      <c r="T105" s="16">
        <f t="shared" si="62"/>
        <v>0</v>
      </c>
      <c r="U105" s="24">
        <v>1</v>
      </c>
      <c r="V105" s="9">
        <v>0</v>
      </c>
      <c r="W105" s="24">
        <f t="shared" si="64"/>
        <v>0</v>
      </c>
      <c r="X105" s="48">
        <f t="shared" si="65"/>
        <v>0</v>
      </c>
    </row>
    <row r="106" spans="1:24" ht="12.75">
      <c r="A106" s="28">
        <v>95</v>
      </c>
      <c r="B106" s="190" t="s">
        <v>142</v>
      </c>
      <c r="C106" s="191"/>
      <c r="D106" s="18">
        <f>'[1]А-4'!$F$127</f>
        <v>0</v>
      </c>
      <c r="E106" s="17">
        <f>'[1]Норматив и фактически 2017'!$F$111</f>
        <v>117.214</v>
      </c>
      <c r="F106" s="114">
        <f t="shared" si="56"/>
        <v>72.6699225642031</v>
      </c>
      <c r="G106" s="70">
        <f t="shared" si="57"/>
        <v>24.75137562536758</v>
      </c>
      <c r="H106" s="70">
        <f t="shared" si="58"/>
        <v>47.918546938835526</v>
      </c>
      <c r="I106" s="26">
        <f t="shared" si="59"/>
        <v>0</v>
      </c>
      <c r="J106" s="19">
        <f>'[1]А-4'!G127</f>
        <v>0</v>
      </c>
      <c r="K106" s="26">
        <f>'[1]А-4'!$H$127</f>
        <v>0</v>
      </c>
      <c r="L106" s="26">
        <f>'[1]А-4'!$Q$127</f>
        <v>0</v>
      </c>
      <c r="M106" s="21">
        <f>'[1]А-4'!$AC$127</f>
        <v>0</v>
      </c>
      <c r="N106" s="21"/>
      <c r="O106" s="21"/>
      <c r="P106" s="26">
        <f t="shared" si="53"/>
        <v>0</v>
      </c>
      <c r="Q106" s="26">
        <f t="shared" si="54"/>
        <v>0</v>
      </c>
      <c r="R106" s="22">
        <f t="shared" si="60"/>
        <v>0</v>
      </c>
      <c r="S106" s="22">
        <f t="shared" si="61"/>
        <v>0</v>
      </c>
      <c r="T106" s="16">
        <f t="shared" si="62"/>
        <v>0</v>
      </c>
      <c r="U106" s="24">
        <v>1</v>
      </c>
      <c r="V106" s="9">
        <v>0</v>
      </c>
      <c r="W106" s="24">
        <f t="shared" si="64"/>
        <v>0</v>
      </c>
      <c r="X106" s="48">
        <f t="shared" si="65"/>
        <v>0</v>
      </c>
    </row>
    <row r="107" spans="1:24" ht="12.75">
      <c r="A107" s="28">
        <v>96</v>
      </c>
      <c r="B107" s="109"/>
      <c r="C107" s="108"/>
      <c r="D107" s="18"/>
      <c r="E107" s="17"/>
      <c r="F107" s="114"/>
      <c r="G107" s="70"/>
      <c r="H107" s="70"/>
      <c r="I107" s="26"/>
      <c r="J107" s="19"/>
      <c r="K107" s="26"/>
      <c r="L107" s="21"/>
      <c r="M107" s="21"/>
      <c r="N107" s="21"/>
      <c r="O107" s="21"/>
      <c r="P107" s="26"/>
      <c r="Q107" s="26"/>
      <c r="R107" s="22"/>
      <c r="S107" s="22"/>
      <c r="T107" s="16"/>
      <c r="U107" s="24"/>
      <c r="V107" s="9"/>
      <c r="W107" s="24"/>
      <c r="X107" s="48"/>
    </row>
    <row r="108" spans="1:24" ht="12.75">
      <c r="A108" s="28">
        <v>97</v>
      </c>
      <c r="B108" s="202"/>
      <c r="C108" s="203"/>
      <c r="D108" s="18"/>
      <c r="E108" s="17"/>
      <c r="F108" s="114"/>
      <c r="G108" s="70"/>
      <c r="H108" s="70"/>
      <c r="I108" s="26"/>
      <c r="J108" s="19"/>
      <c r="K108" s="26"/>
      <c r="L108" s="21"/>
      <c r="M108" s="21"/>
      <c r="N108" s="21"/>
      <c r="O108" s="21"/>
      <c r="P108" s="26"/>
      <c r="Q108" s="26"/>
      <c r="R108" s="22"/>
      <c r="S108" s="22"/>
      <c r="T108" s="16"/>
      <c r="U108" s="24"/>
      <c r="V108" s="9"/>
      <c r="W108" s="24"/>
      <c r="X108" s="48"/>
    </row>
    <row r="109" spans="1:24" ht="12.75">
      <c r="A109" s="28">
        <v>98</v>
      </c>
      <c r="B109" s="202"/>
      <c r="C109" s="203"/>
      <c r="D109" s="18"/>
      <c r="E109" s="17"/>
      <c r="F109" s="115"/>
      <c r="G109" s="70"/>
      <c r="H109" s="70"/>
      <c r="I109" s="26"/>
      <c r="J109" s="19"/>
      <c r="K109" s="26"/>
      <c r="L109" s="21"/>
      <c r="M109" s="21"/>
      <c r="N109" s="21"/>
      <c r="O109" s="21"/>
      <c r="P109" s="26"/>
      <c r="Q109" s="26"/>
      <c r="R109" s="22"/>
      <c r="S109" s="22"/>
      <c r="T109" s="16"/>
      <c r="U109" s="24"/>
      <c r="V109" s="9"/>
      <c r="W109" s="24"/>
      <c r="X109" s="48"/>
    </row>
    <row r="110" spans="1:24" ht="12.75">
      <c r="A110" s="28">
        <v>99</v>
      </c>
      <c r="B110" s="202"/>
      <c r="C110" s="203"/>
      <c r="D110" s="18"/>
      <c r="E110" s="17"/>
      <c r="F110" s="114"/>
      <c r="G110" s="70"/>
      <c r="H110" s="70"/>
      <c r="I110" s="26"/>
      <c r="J110" s="19"/>
      <c r="K110" s="26"/>
      <c r="L110" s="21"/>
      <c r="M110" s="21"/>
      <c r="N110" s="21"/>
      <c r="O110" s="21"/>
      <c r="P110" s="26"/>
      <c r="Q110" s="26"/>
      <c r="R110" s="22"/>
      <c r="S110" s="22"/>
      <c r="T110" s="16"/>
      <c r="U110" s="24"/>
      <c r="V110" s="9"/>
      <c r="W110" s="24"/>
      <c r="X110" s="48"/>
    </row>
    <row r="111" spans="1:24" ht="12.75">
      <c r="A111" s="28">
        <v>100</v>
      </c>
      <c r="B111" s="202"/>
      <c r="C111" s="203"/>
      <c r="D111" s="18"/>
      <c r="E111" s="17"/>
      <c r="F111" s="114"/>
      <c r="G111" s="70"/>
      <c r="H111" s="70"/>
      <c r="I111" s="26"/>
      <c r="J111" s="19"/>
      <c r="K111" s="26"/>
      <c r="L111" s="21"/>
      <c r="M111" s="21"/>
      <c r="N111" s="21"/>
      <c r="O111" s="21"/>
      <c r="P111" s="26"/>
      <c r="Q111" s="26"/>
      <c r="R111" s="22"/>
      <c r="S111" s="22"/>
      <c r="T111" s="16"/>
      <c r="U111" s="24"/>
      <c r="V111" s="9"/>
      <c r="W111" s="24"/>
      <c r="X111" s="48"/>
    </row>
    <row r="112" spans="1:24" ht="12.75">
      <c r="A112" s="28">
        <v>101</v>
      </c>
      <c r="B112" s="202"/>
      <c r="C112" s="203"/>
      <c r="D112" s="18"/>
      <c r="E112" s="17"/>
      <c r="F112" s="114"/>
      <c r="G112" s="70"/>
      <c r="H112" s="70"/>
      <c r="I112" s="26"/>
      <c r="J112" s="19"/>
      <c r="K112" s="26"/>
      <c r="L112" s="21"/>
      <c r="M112" s="21"/>
      <c r="N112" s="21"/>
      <c r="O112" s="21"/>
      <c r="P112" s="26"/>
      <c r="Q112" s="26"/>
      <c r="R112" s="22"/>
      <c r="S112" s="22"/>
      <c r="T112" s="16"/>
      <c r="U112" s="24"/>
      <c r="V112" s="9"/>
      <c r="W112" s="24"/>
      <c r="X112" s="48"/>
    </row>
    <row r="113" spans="1:30" ht="24.75" customHeight="1">
      <c r="A113" s="199" t="s">
        <v>123</v>
      </c>
      <c r="B113" s="200"/>
      <c r="C113" s="201"/>
      <c r="D113" s="120">
        <f>SUM(D114:D119)</f>
        <v>60</v>
      </c>
      <c r="E113" s="74">
        <f aca="true" t="shared" si="67" ref="E113:M113">SUM(E114:E124)</f>
        <v>4663.179</v>
      </c>
      <c r="F113" s="74">
        <f t="shared" si="67"/>
        <v>2947</v>
      </c>
      <c r="G113" s="74">
        <f t="shared" si="67"/>
        <v>1757.0013999999999</v>
      </c>
      <c r="H113" s="74">
        <f t="shared" si="67"/>
        <v>1189.9986</v>
      </c>
      <c r="I113" s="74">
        <f t="shared" si="67"/>
        <v>641.79</v>
      </c>
      <c r="J113" s="74">
        <f t="shared" si="67"/>
        <v>610.9300000000001</v>
      </c>
      <c r="K113" s="74">
        <f t="shared" si="67"/>
        <v>30.860000000000003</v>
      </c>
      <c r="L113" s="74">
        <f t="shared" si="67"/>
        <v>69</v>
      </c>
      <c r="M113" s="74">
        <f t="shared" si="67"/>
        <v>7</v>
      </c>
      <c r="N113" s="74">
        <f>ROUND(L113/J113*10,2)</f>
        <v>1.13</v>
      </c>
      <c r="O113" s="74">
        <f>ROUND(M113/K113*10,2)</f>
        <v>2.27</v>
      </c>
      <c r="P113" s="76">
        <f aca="true" t="shared" si="68" ref="P113:P119">ROUND(N113*$M$5,1)</f>
        <v>0.6</v>
      </c>
      <c r="Q113" s="74">
        <f>ROUND(O113*$M$5,2)</f>
        <v>1.23</v>
      </c>
      <c r="R113" s="77">
        <f aca="true" t="shared" si="69" ref="R113:W113">SUM(R114:R124)</f>
        <v>1175</v>
      </c>
      <c r="S113" s="77">
        <f t="shared" si="69"/>
        <v>580</v>
      </c>
      <c r="T113" s="77">
        <f t="shared" si="69"/>
        <v>1755</v>
      </c>
      <c r="U113" s="77">
        <f t="shared" si="69"/>
        <v>77</v>
      </c>
      <c r="V113" s="77">
        <f t="shared" si="69"/>
        <v>49</v>
      </c>
      <c r="W113" s="77">
        <f t="shared" si="69"/>
        <v>50</v>
      </c>
      <c r="X113" s="48">
        <f aca="true" t="shared" si="70" ref="X113:X119">T113/F113</f>
        <v>0.5955208686800135</v>
      </c>
      <c r="Y113">
        <f>2947/E113</f>
        <v>0.6319723090192334</v>
      </c>
      <c r="AB113">
        <v>1570</v>
      </c>
      <c r="AD113" s="20">
        <f>AB113-T113</f>
        <v>-185</v>
      </c>
    </row>
    <row r="114" spans="1:24" ht="12.75">
      <c r="A114" s="28">
        <v>102</v>
      </c>
      <c r="B114" s="8" t="s">
        <v>19</v>
      </c>
      <c r="C114" s="9"/>
      <c r="D114" s="18">
        <f>'[1]А-4'!$F$133</f>
        <v>31</v>
      </c>
      <c r="E114" s="92">
        <f>'[1]Норматив и фактически 2017'!$F$119</f>
        <v>2465</v>
      </c>
      <c r="F114" s="112">
        <f aca="true" t="shared" si="71" ref="F114:F119">E114*$Y$113</f>
        <v>1557.8117417324104</v>
      </c>
      <c r="G114" s="70">
        <f aca="true" t="shared" si="72" ref="G114:G119">F114*0.5962</f>
        <v>928.767360420863</v>
      </c>
      <c r="H114" s="70">
        <f aca="true" t="shared" si="73" ref="H114:H119">F114*0.4038</f>
        <v>629.0443813115473</v>
      </c>
      <c r="I114" s="26">
        <f aca="true" t="shared" si="74" ref="I114:I119">J114+K114</f>
        <v>321.7</v>
      </c>
      <c r="J114" s="26">
        <f>'[1]А-4'!G133</f>
        <v>321.7</v>
      </c>
      <c r="K114" s="26">
        <f>'[1]А-4'!$H$133</f>
        <v>0</v>
      </c>
      <c r="L114" s="21">
        <f>'[1]А-4'!$Q$133</f>
        <v>24</v>
      </c>
      <c r="M114" s="21">
        <f>'[1]А-4'!$AC$133</f>
        <v>0</v>
      </c>
      <c r="N114" s="21">
        <f aca="true" t="shared" si="75" ref="N114:N119">L114*10/J114</f>
        <v>0.7460366801367734</v>
      </c>
      <c r="O114" s="21"/>
      <c r="P114" s="26">
        <f t="shared" si="68"/>
        <v>0.4</v>
      </c>
      <c r="Q114" s="26">
        <f aca="true" t="shared" si="76" ref="Q114:Q119">ROUND(O114*$M$5,1)</f>
        <v>0</v>
      </c>
      <c r="R114" s="22">
        <f aca="true" t="shared" si="77" ref="R114:S119">ROUNDDOWN((P114*G114),0)</f>
        <v>371</v>
      </c>
      <c r="S114" s="22">
        <f t="shared" si="77"/>
        <v>0</v>
      </c>
      <c r="T114" s="16">
        <f aca="true" t="shared" si="78" ref="T114:T119">R114+S114</f>
        <v>371</v>
      </c>
      <c r="U114" s="24">
        <f>ROUNDDOWN(IF(T114&lt;$O$3,"0",T114*3/100),0)</f>
        <v>11</v>
      </c>
      <c r="V114" s="9">
        <v>13</v>
      </c>
      <c r="W114" s="24">
        <f>IF(V114&lt;=U114,V114,U114)</f>
        <v>11</v>
      </c>
      <c r="X114" s="48">
        <f t="shared" si="70"/>
        <v>0.23815457931227205</v>
      </c>
    </row>
    <row r="115" spans="1:24" ht="12.75">
      <c r="A115" s="28">
        <v>103</v>
      </c>
      <c r="B115" s="8" t="s">
        <v>39</v>
      </c>
      <c r="C115" s="9"/>
      <c r="D115" s="18">
        <f>'[1]А-4'!$F$134</f>
        <v>2</v>
      </c>
      <c r="E115" s="92">
        <f>'[1]Норматив и фактически 2017'!$F$120</f>
        <v>212.2506</v>
      </c>
      <c r="F115" s="112">
        <f t="shared" si="71"/>
        <v>134.1365017727177</v>
      </c>
      <c r="G115" s="70">
        <f t="shared" si="72"/>
        <v>79.9721823568943</v>
      </c>
      <c r="H115" s="70">
        <f t="shared" si="73"/>
        <v>54.16431941582341</v>
      </c>
      <c r="I115" s="26">
        <f t="shared" si="74"/>
        <v>23.2</v>
      </c>
      <c r="J115" s="26">
        <f>'[1]А-4'!G134</f>
        <v>16.7</v>
      </c>
      <c r="K115" s="26">
        <f>'[1]А-4'!$H$134</f>
        <v>6.5</v>
      </c>
      <c r="L115" s="21">
        <f>'[1]А-4'!$Q$134</f>
        <v>12</v>
      </c>
      <c r="M115" s="21">
        <f>'[1]А-4'!$AC$134</f>
        <v>0</v>
      </c>
      <c r="N115" s="21">
        <f t="shared" si="75"/>
        <v>7.185628742514971</v>
      </c>
      <c r="O115" s="21">
        <f>ROUND(M115/K115*10,3)</f>
        <v>0</v>
      </c>
      <c r="P115" s="26">
        <f t="shared" si="68"/>
        <v>3.9</v>
      </c>
      <c r="Q115" s="26">
        <f t="shared" si="76"/>
        <v>0</v>
      </c>
      <c r="R115" s="22">
        <f t="shared" si="77"/>
        <v>311</v>
      </c>
      <c r="S115" s="22">
        <f t="shared" si="77"/>
        <v>0</v>
      </c>
      <c r="T115" s="16">
        <f t="shared" si="78"/>
        <v>311</v>
      </c>
      <c r="U115" s="24">
        <f>ROUNDDOWN(IF(T115&lt;$O$3,"0",T115*7/100),0)</f>
        <v>21</v>
      </c>
      <c r="V115" s="9">
        <v>1</v>
      </c>
      <c r="W115" s="24">
        <f>IF(V115&lt;=U115,V115,U115)</f>
        <v>1</v>
      </c>
      <c r="X115" s="48">
        <f t="shared" si="70"/>
        <v>2.318533701788061</v>
      </c>
    </row>
    <row r="116" spans="1:24" ht="12.75">
      <c r="A116" s="28">
        <v>104</v>
      </c>
      <c r="B116" s="137" t="s">
        <v>20</v>
      </c>
      <c r="C116" s="138"/>
      <c r="D116" s="125">
        <f>'[1]А-4'!$F$135</f>
        <v>4</v>
      </c>
      <c r="E116" s="134">
        <f>'[1]Норматив и фактически 2017'!$F$121</f>
        <v>370</v>
      </c>
      <c r="F116" s="127">
        <f t="shared" si="71"/>
        <v>233.82975433711636</v>
      </c>
      <c r="G116" s="128">
        <f t="shared" si="72"/>
        <v>139.40929953578876</v>
      </c>
      <c r="H116" s="128">
        <f t="shared" si="73"/>
        <v>94.42045480132758</v>
      </c>
      <c r="I116" s="129">
        <f t="shared" si="74"/>
        <v>48.22</v>
      </c>
      <c r="J116" s="129">
        <f>'[1]А-4'!G135</f>
        <v>48.22</v>
      </c>
      <c r="K116" s="129">
        <f>'[1]А-4'!$H$135</f>
        <v>0</v>
      </c>
      <c r="L116" s="130">
        <f>'[1]А-4'!$Q$135</f>
        <v>6</v>
      </c>
      <c r="M116" s="130">
        <f>'[1]А-4'!$AC$135</f>
        <v>0</v>
      </c>
      <c r="N116" s="130">
        <f t="shared" si="75"/>
        <v>1.244296972210701</v>
      </c>
      <c r="O116" s="130"/>
      <c r="P116" s="129">
        <f t="shared" si="68"/>
        <v>0.7</v>
      </c>
      <c r="Q116" s="129">
        <f t="shared" si="76"/>
        <v>0</v>
      </c>
      <c r="R116" s="131">
        <f t="shared" si="77"/>
        <v>97</v>
      </c>
      <c r="S116" s="131">
        <f t="shared" si="77"/>
        <v>0</v>
      </c>
      <c r="T116" s="131">
        <f t="shared" si="78"/>
        <v>97</v>
      </c>
      <c r="U116" s="132">
        <v>0</v>
      </c>
      <c r="V116" s="133"/>
      <c r="W116" s="24">
        <f>IF(V116&lt;=U116,V116,U116)</f>
        <v>0</v>
      </c>
      <c r="X116" s="48">
        <f t="shared" si="70"/>
        <v>0.41483172351177106</v>
      </c>
    </row>
    <row r="117" spans="1:24" ht="12.75">
      <c r="A117" s="28">
        <v>105</v>
      </c>
      <c r="B117" s="8" t="s">
        <v>47</v>
      </c>
      <c r="C117" s="9"/>
      <c r="D117" s="18">
        <f>'[1]А-4'!$F$136</f>
        <v>7</v>
      </c>
      <c r="E117" s="92">
        <f>'[1]Норматив и фактически 2017'!$F$122</f>
        <v>798.6244</v>
      </c>
      <c r="F117" s="112">
        <f t="shared" si="71"/>
        <v>504.7085061070999</v>
      </c>
      <c r="G117" s="70">
        <f t="shared" si="72"/>
        <v>300.9072113410529</v>
      </c>
      <c r="H117" s="70">
        <f t="shared" si="73"/>
        <v>203.80129476604694</v>
      </c>
      <c r="I117" s="26">
        <f t="shared" si="74"/>
        <v>82.93</v>
      </c>
      <c r="J117" s="26">
        <f>'[1]А-4'!G136</f>
        <v>78.42</v>
      </c>
      <c r="K117" s="26">
        <f>'[1]А-4'!$H$136</f>
        <v>4.510000000000001</v>
      </c>
      <c r="L117" s="21">
        <f>'[1]А-4'!$Q$136</f>
        <v>6</v>
      </c>
      <c r="M117" s="21">
        <f>'[1]А-4'!$AC$136</f>
        <v>0</v>
      </c>
      <c r="N117" s="21">
        <f t="shared" si="75"/>
        <v>0.7651109410864575</v>
      </c>
      <c r="O117" s="21">
        <f>ROUND(M117/K117*10,3)</f>
        <v>0</v>
      </c>
      <c r="P117" s="26">
        <f t="shared" si="68"/>
        <v>0.4</v>
      </c>
      <c r="Q117" s="26">
        <f t="shared" si="76"/>
        <v>0</v>
      </c>
      <c r="R117" s="22">
        <f t="shared" si="77"/>
        <v>120</v>
      </c>
      <c r="S117" s="22">
        <f t="shared" si="77"/>
        <v>0</v>
      </c>
      <c r="T117" s="16">
        <f t="shared" si="78"/>
        <v>120</v>
      </c>
      <c r="U117" s="24">
        <f>ROUNDDOWN(IF(T117&lt;$O$3,"0",T117*3/100),0)</f>
        <v>3</v>
      </c>
      <c r="V117" s="9"/>
      <c r="W117" s="24">
        <v>3</v>
      </c>
      <c r="X117" s="48">
        <f t="shared" si="70"/>
        <v>0.23776100174253023</v>
      </c>
    </row>
    <row r="118" spans="1:24" ht="12.75">
      <c r="A118" s="28">
        <v>106</v>
      </c>
      <c r="B118" s="110" t="s">
        <v>141</v>
      </c>
      <c r="C118" s="111"/>
      <c r="D118" s="18">
        <f>'[1]А-4'!$F$137</f>
        <v>2</v>
      </c>
      <c r="E118" s="92">
        <f>'[1]Норматив и фактически 2017'!$F$124</f>
        <v>160.95</v>
      </c>
      <c r="F118" s="112">
        <f t="shared" si="71"/>
        <v>101.7159431366456</v>
      </c>
      <c r="G118" s="70">
        <f t="shared" si="72"/>
        <v>60.6430452980681</v>
      </c>
      <c r="H118" s="70">
        <f t="shared" si="73"/>
        <v>41.0728978385775</v>
      </c>
      <c r="I118" s="26">
        <f t="shared" si="74"/>
        <v>20.94</v>
      </c>
      <c r="J118" s="26">
        <f>'[1]А-4'!G137</f>
        <v>6.29</v>
      </c>
      <c r="K118" s="26">
        <f>'[1]А-4'!$H$137</f>
        <v>14.65</v>
      </c>
      <c r="L118" s="21">
        <f>'[1]А-4'!$Q$137</f>
        <v>2</v>
      </c>
      <c r="M118" s="21">
        <f>'[1]А-4'!$AC$137</f>
        <v>4</v>
      </c>
      <c r="N118" s="21">
        <f t="shared" si="75"/>
        <v>3.179650238473768</v>
      </c>
      <c r="O118" s="21">
        <f>ROUND(M118/K118*10,3)</f>
        <v>2.73</v>
      </c>
      <c r="P118" s="26">
        <f t="shared" si="68"/>
        <v>1.7</v>
      </c>
      <c r="Q118" s="26">
        <f t="shared" si="76"/>
        <v>1.5</v>
      </c>
      <c r="R118" s="22">
        <f t="shared" si="77"/>
        <v>103</v>
      </c>
      <c r="S118" s="22">
        <f t="shared" si="77"/>
        <v>61</v>
      </c>
      <c r="T118" s="16">
        <f t="shared" si="78"/>
        <v>164</v>
      </c>
      <c r="U118" s="24">
        <f>ROUNDDOWN(IF(T118&lt;$O$3,"0",T118*5/100),0)</f>
        <v>8</v>
      </c>
      <c r="V118" s="9">
        <v>5</v>
      </c>
      <c r="W118" s="24">
        <f>IF(V118&lt;=U118,V118,U118)</f>
        <v>5</v>
      </c>
      <c r="X118" s="48">
        <f t="shared" si="70"/>
        <v>1.6123332777800796</v>
      </c>
    </row>
    <row r="119" spans="1:24" ht="12.75">
      <c r="A119" s="28">
        <v>107</v>
      </c>
      <c r="B119" s="185" t="s">
        <v>143</v>
      </c>
      <c r="C119" s="186"/>
      <c r="D119" s="18">
        <f>'[1]А-4'!$F$138</f>
        <v>14</v>
      </c>
      <c r="E119" s="92">
        <f>'[1]Норматив и фактически 2017'!$F$123</f>
        <v>656.354</v>
      </c>
      <c r="F119" s="112">
        <f t="shared" si="71"/>
        <v>414.79755291400994</v>
      </c>
      <c r="G119" s="70">
        <f t="shared" si="72"/>
        <v>247.30230104733272</v>
      </c>
      <c r="H119" s="70">
        <f t="shared" si="73"/>
        <v>167.49525186667722</v>
      </c>
      <c r="I119" s="26">
        <f t="shared" si="74"/>
        <v>144.79999999999998</v>
      </c>
      <c r="J119" s="26">
        <f>'[1]А-4'!G138</f>
        <v>139.6</v>
      </c>
      <c r="K119" s="26">
        <f>'[1]А-4'!$H$138</f>
        <v>5.199999999999999</v>
      </c>
      <c r="L119" s="21">
        <f>'[1]А-4'!$Q$138</f>
        <v>19</v>
      </c>
      <c r="M119" s="21">
        <f>'[1]А-4'!$AC$138</f>
        <v>3</v>
      </c>
      <c r="N119" s="21">
        <f t="shared" si="75"/>
        <v>1.3610315186246418</v>
      </c>
      <c r="O119" s="21">
        <f>ROUND(M119/K119*10,3)</f>
        <v>5.769</v>
      </c>
      <c r="P119" s="26">
        <f t="shared" si="68"/>
        <v>0.7</v>
      </c>
      <c r="Q119" s="26">
        <f t="shared" si="76"/>
        <v>3.1</v>
      </c>
      <c r="R119" s="22">
        <f t="shared" si="77"/>
        <v>173</v>
      </c>
      <c r="S119" s="22">
        <f t="shared" si="77"/>
        <v>519</v>
      </c>
      <c r="T119" s="16">
        <f t="shared" si="78"/>
        <v>692</v>
      </c>
      <c r="U119" s="24">
        <f>ROUNDDOWN(IF(T119&lt;$O$3,"0",T119*5/100),0)</f>
        <v>34</v>
      </c>
      <c r="V119" s="9">
        <v>30</v>
      </c>
      <c r="W119" s="24">
        <f>IF(V119&lt;=U119,V119,U119)</f>
        <v>30</v>
      </c>
      <c r="X119" s="48">
        <f t="shared" si="70"/>
        <v>1.6682837088565365</v>
      </c>
    </row>
    <row r="120" spans="1:24" ht="12.75">
      <c r="A120" s="28">
        <v>108</v>
      </c>
      <c r="D120" s="9"/>
      <c r="E120" s="9"/>
      <c r="F120" s="9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9"/>
      <c r="U120" s="9"/>
      <c r="V120" s="9"/>
      <c r="W120" s="9"/>
      <c r="X120" s="48"/>
    </row>
    <row r="121" spans="1:24" ht="12.75">
      <c r="A121" s="28">
        <v>109</v>
      </c>
      <c r="B121" s="185"/>
      <c r="C121" s="186"/>
      <c r="D121" s="18"/>
      <c r="E121" s="92"/>
      <c r="F121" s="112"/>
      <c r="G121" s="70"/>
      <c r="H121" s="70"/>
      <c r="I121" s="26"/>
      <c r="J121" s="26"/>
      <c r="K121" s="26"/>
      <c r="L121" s="21"/>
      <c r="M121" s="21"/>
      <c r="N121" s="21"/>
      <c r="O121" s="21"/>
      <c r="P121" s="26"/>
      <c r="Q121" s="26"/>
      <c r="R121" s="22"/>
      <c r="S121" s="22"/>
      <c r="T121" s="16"/>
      <c r="U121" s="24"/>
      <c r="V121" s="9"/>
      <c r="W121" s="24"/>
      <c r="X121" s="48"/>
    </row>
    <row r="122" spans="1:24" ht="12.75">
      <c r="A122" s="28">
        <v>110</v>
      </c>
      <c r="B122" s="185"/>
      <c r="C122" s="186"/>
      <c r="D122" s="18"/>
      <c r="E122" s="92"/>
      <c r="F122" s="112"/>
      <c r="G122" s="70"/>
      <c r="H122" s="70"/>
      <c r="I122" s="26"/>
      <c r="J122" s="26"/>
      <c r="K122" s="26"/>
      <c r="L122" s="21"/>
      <c r="M122" s="21"/>
      <c r="N122" s="21"/>
      <c r="O122" s="21"/>
      <c r="P122" s="26"/>
      <c r="Q122" s="26"/>
      <c r="R122" s="22"/>
      <c r="S122" s="22"/>
      <c r="T122" s="16"/>
      <c r="U122" s="24"/>
      <c r="V122" s="9"/>
      <c r="W122" s="24"/>
      <c r="X122" s="48"/>
    </row>
    <row r="123" spans="1:24" ht="12.75">
      <c r="A123" s="28">
        <v>111</v>
      </c>
      <c r="B123" s="197"/>
      <c r="C123" s="198"/>
      <c r="D123" s="18"/>
      <c r="E123" s="92"/>
      <c r="F123" s="112"/>
      <c r="G123" s="70"/>
      <c r="H123" s="70"/>
      <c r="I123" s="26"/>
      <c r="J123" s="26"/>
      <c r="K123" s="26"/>
      <c r="L123" s="21"/>
      <c r="M123" s="21"/>
      <c r="N123" s="21"/>
      <c r="O123" s="21"/>
      <c r="P123" s="26"/>
      <c r="Q123" s="26"/>
      <c r="R123" s="22"/>
      <c r="S123" s="22"/>
      <c r="T123" s="16"/>
      <c r="U123" s="24"/>
      <c r="V123" s="9"/>
      <c r="W123" s="24"/>
      <c r="X123" s="48"/>
    </row>
    <row r="124" spans="1:24" ht="12.75">
      <c r="A124" s="28">
        <v>112</v>
      </c>
      <c r="B124" s="197"/>
      <c r="C124" s="198"/>
      <c r="D124" s="18"/>
      <c r="E124" s="92"/>
      <c r="F124" s="112"/>
      <c r="G124" s="70"/>
      <c r="H124" s="70"/>
      <c r="I124" s="26"/>
      <c r="J124" s="26"/>
      <c r="K124" s="26"/>
      <c r="L124" s="21"/>
      <c r="M124" s="21"/>
      <c r="N124" s="21"/>
      <c r="O124" s="21"/>
      <c r="P124" s="26"/>
      <c r="Q124" s="26"/>
      <c r="R124" s="22"/>
      <c r="S124" s="22"/>
      <c r="T124" s="16"/>
      <c r="U124" s="24"/>
      <c r="V124" s="9"/>
      <c r="W124" s="24"/>
      <c r="X124" s="48"/>
    </row>
    <row r="125" spans="1:30" ht="27" customHeight="1">
      <c r="A125" s="199" t="s">
        <v>128</v>
      </c>
      <c r="B125" s="200"/>
      <c r="C125" s="201"/>
      <c r="D125" s="120">
        <f aca="true" t="shared" si="79" ref="D125:M125">SUM(D126:D137)</f>
        <v>48</v>
      </c>
      <c r="E125" s="74">
        <f t="shared" si="79"/>
        <v>3547.2970000000005</v>
      </c>
      <c r="F125" s="74">
        <f t="shared" si="79"/>
        <v>2312.9999999999995</v>
      </c>
      <c r="G125" s="120">
        <f t="shared" si="79"/>
        <v>1790.9558999999997</v>
      </c>
      <c r="H125" s="120">
        <f t="shared" si="79"/>
        <v>522.0441</v>
      </c>
      <c r="I125" s="120">
        <f t="shared" si="79"/>
        <v>527.51</v>
      </c>
      <c r="J125" s="120">
        <f t="shared" si="79"/>
        <v>420.21</v>
      </c>
      <c r="K125" s="120">
        <f t="shared" si="79"/>
        <v>107.3</v>
      </c>
      <c r="L125" s="120">
        <f t="shared" si="79"/>
        <v>104</v>
      </c>
      <c r="M125" s="74">
        <f t="shared" si="79"/>
        <v>4</v>
      </c>
      <c r="N125" s="74">
        <f>ROUND(L125/J125*10,2)</f>
        <v>2.47</v>
      </c>
      <c r="O125" s="74">
        <f>ROUND(M125/K125*10,2)</f>
        <v>0.37</v>
      </c>
      <c r="P125" s="76">
        <f aca="true" t="shared" si="80" ref="P125:P137">ROUND(N125*$M$5,1)</f>
        <v>1.3</v>
      </c>
      <c r="Q125" s="74">
        <f>ROUND(O125*$M$5,2)</f>
        <v>0.2</v>
      </c>
      <c r="R125" s="73">
        <f aca="true" t="shared" si="81" ref="R125:W125">SUM(R126:R137)</f>
        <v>1882</v>
      </c>
      <c r="S125" s="77">
        <f t="shared" si="81"/>
        <v>52</v>
      </c>
      <c r="T125" s="77">
        <f t="shared" si="81"/>
        <v>1934</v>
      </c>
      <c r="U125" s="77">
        <f t="shared" si="81"/>
        <v>92</v>
      </c>
      <c r="V125" s="77">
        <f t="shared" si="81"/>
        <v>35</v>
      </c>
      <c r="W125" s="77">
        <f t="shared" si="81"/>
        <v>77</v>
      </c>
      <c r="X125" s="48">
        <f aca="true" t="shared" si="82" ref="X125:X137">T125/F125</f>
        <v>0.8361435365326417</v>
      </c>
      <c r="Y125" s="54">
        <f>2313/E125</f>
        <v>0.6520457689333596</v>
      </c>
      <c r="AB125">
        <v>2546</v>
      </c>
      <c r="AD125" s="20">
        <f>AB125-T125</f>
        <v>612</v>
      </c>
    </row>
    <row r="126" spans="1:24" ht="12.75">
      <c r="A126" s="119">
        <v>113</v>
      </c>
      <c r="B126" s="8" t="s">
        <v>34</v>
      </c>
      <c r="C126" s="9"/>
      <c r="D126" s="18">
        <f>'[1]А-4'!$F$150</f>
        <v>2</v>
      </c>
      <c r="E126" s="95">
        <f>'[1]Норматив и фактически 2017'!$F$131</f>
        <v>46.194</v>
      </c>
      <c r="F126" s="112">
        <f aca="true" t="shared" si="83" ref="F126:F137">E126*$Y$125</f>
        <v>30.120602250107616</v>
      </c>
      <c r="G126" s="70">
        <f aca="true" t="shared" si="84" ref="G126:G137">F126*0.7743</f>
        <v>23.322382322258328</v>
      </c>
      <c r="H126" s="70">
        <f aca="true" t="shared" si="85" ref="H126:H137">F126*0.2257</f>
        <v>6.798219927849289</v>
      </c>
      <c r="I126" s="26">
        <f aca="true" t="shared" si="86" ref="I126:I137">J126+K126</f>
        <v>20.900000000000002</v>
      </c>
      <c r="J126" s="26">
        <f>'[1]А-4'!G150</f>
        <v>16.1</v>
      </c>
      <c r="K126" s="26">
        <f>'[1]А-4'!H150</f>
        <v>4.8</v>
      </c>
      <c r="L126" s="21">
        <f>'[1]А-4'!Q150</f>
        <v>15</v>
      </c>
      <c r="M126" s="21">
        <f>'[1]А-4'!AC150</f>
        <v>0</v>
      </c>
      <c r="N126" s="21">
        <f aca="true" t="shared" si="87" ref="N126:N137">ROUND(L126/J126*10,1)</f>
        <v>9.3</v>
      </c>
      <c r="O126" s="21">
        <f>ROUND(M126/K126*10,3)</f>
        <v>0</v>
      </c>
      <c r="P126" s="26">
        <f t="shared" si="80"/>
        <v>5</v>
      </c>
      <c r="Q126" s="26">
        <f aca="true" t="shared" si="88" ref="Q126:Q137">ROUND(O126*$M$5,1)</f>
        <v>0</v>
      </c>
      <c r="R126" s="22">
        <f aca="true" t="shared" si="89" ref="R126:R137">ROUNDDOWN((P126*G126),0)</f>
        <v>116</v>
      </c>
      <c r="S126" s="22">
        <f aca="true" t="shared" si="90" ref="S126:S137">ROUNDDOWN((Q126*H126),0)</f>
        <v>0</v>
      </c>
      <c r="T126" s="16">
        <f aca="true" t="shared" si="91" ref="T126:T137">R126+S126</f>
        <v>116</v>
      </c>
      <c r="U126" s="24">
        <f aca="true" t="shared" si="92" ref="U126:U135">ROUNDDOWN(IF(T126&lt;$O$3,"0",T126*7/100),0)</f>
        <v>8</v>
      </c>
      <c r="V126" s="9">
        <v>3</v>
      </c>
      <c r="W126" s="24">
        <f aca="true" t="shared" si="93" ref="W126:W137">IF(V126&lt;=U126,V126,U126)</f>
        <v>3</v>
      </c>
      <c r="X126" s="48">
        <f t="shared" si="82"/>
        <v>3.851184615659056</v>
      </c>
    </row>
    <row r="127" spans="1:24" ht="12.75">
      <c r="A127" s="119">
        <v>114</v>
      </c>
      <c r="B127" s="8" t="s">
        <v>21</v>
      </c>
      <c r="C127" s="9"/>
      <c r="D127" s="18">
        <f>'[1]А-4'!$F$151</f>
        <v>0</v>
      </c>
      <c r="E127" s="95">
        <f>'[1]Норматив и фактически 2017'!$F$132</f>
        <v>37</v>
      </c>
      <c r="F127" s="112">
        <f t="shared" si="83"/>
        <v>24.125693450534307</v>
      </c>
      <c r="G127" s="70">
        <f t="shared" si="84"/>
        <v>18.680524438748712</v>
      </c>
      <c r="H127" s="70">
        <f t="shared" si="85"/>
        <v>5.445169011785594</v>
      </c>
      <c r="I127" s="26">
        <f t="shared" si="86"/>
        <v>0</v>
      </c>
      <c r="J127" s="26">
        <f>'[1]А-4'!G151</f>
        <v>0</v>
      </c>
      <c r="K127" s="26">
        <f>'[1]А-4'!H151</f>
        <v>0</v>
      </c>
      <c r="L127" s="21">
        <f>'[1]А-4'!Q151</f>
        <v>0</v>
      </c>
      <c r="M127" s="21">
        <f>'[1]А-4'!AC151</f>
        <v>0</v>
      </c>
      <c r="N127" s="21"/>
      <c r="O127" s="21"/>
      <c r="P127" s="26">
        <f t="shared" si="80"/>
        <v>0</v>
      </c>
      <c r="Q127" s="26">
        <f t="shared" si="88"/>
        <v>0</v>
      </c>
      <c r="R127" s="22">
        <f t="shared" si="89"/>
        <v>0</v>
      </c>
      <c r="S127" s="22">
        <f t="shared" si="90"/>
        <v>0</v>
      </c>
      <c r="T127" s="16">
        <f t="shared" si="91"/>
        <v>0</v>
      </c>
      <c r="U127" s="24">
        <f t="shared" si="92"/>
        <v>0</v>
      </c>
      <c r="V127" s="9">
        <v>0</v>
      </c>
      <c r="W127" s="24">
        <f t="shared" si="93"/>
        <v>0</v>
      </c>
      <c r="X127" s="48">
        <f t="shared" si="82"/>
        <v>0</v>
      </c>
    </row>
    <row r="128" spans="1:24" ht="12.75">
      <c r="A128" s="119">
        <v>115</v>
      </c>
      <c r="B128" s="185" t="s">
        <v>72</v>
      </c>
      <c r="C128" s="186"/>
      <c r="D128" s="18">
        <f>'[1]А-4'!$F$152</f>
        <v>22</v>
      </c>
      <c r="E128" s="95">
        <f>'[1]Норматив и фактически 2017'!$F$133</f>
        <v>1230.0175</v>
      </c>
      <c r="F128" s="112">
        <f t="shared" si="83"/>
        <v>802.0277065889886</v>
      </c>
      <c r="G128" s="70">
        <f t="shared" si="84"/>
        <v>621.0100532118539</v>
      </c>
      <c r="H128" s="70">
        <f t="shared" si="85"/>
        <v>181.01765337713474</v>
      </c>
      <c r="I128" s="26">
        <f t="shared" si="86"/>
        <v>251.46999999999997</v>
      </c>
      <c r="J128" s="26">
        <f>'[1]А-4'!G152</f>
        <v>164.36999999999998</v>
      </c>
      <c r="K128" s="26">
        <f>'[1]А-4'!H152</f>
        <v>87.1</v>
      </c>
      <c r="L128" s="21">
        <f>'[1]А-4'!Q152</f>
        <v>42</v>
      </c>
      <c r="M128" s="21">
        <f>'[1]А-4'!AC152</f>
        <v>0</v>
      </c>
      <c r="N128" s="21">
        <f t="shared" si="87"/>
        <v>2.6</v>
      </c>
      <c r="O128" s="21">
        <f>ROUND(M128/K128*10,3)</f>
        <v>0</v>
      </c>
      <c r="P128" s="26">
        <f t="shared" si="80"/>
        <v>1.4</v>
      </c>
      <c r="Q128" s="26">
        <f t="shared" si="88"/>
        <v>0</v>
      </c>
      <c r="R128" s="22">
        <f t="shared" si="89"/>
        <v>869</v>
      </c>
      <c r="S128" s="22">
        <f t="shared" si="90"/>
        <v>0</v>
      </c>
      <c r="T128" s="16">
        <f t="shared" si="91"/>
        <v>869</v>
      </c>
      <c r="U128" s="24">
        <f>ROUNDDOWN(IF(T128&lt;$O$3,"0",T128*5/100),0)</f>
        <v>43</v>
      </c>
      <c r="V128" s="9"/>
      <c r="W128" s="24">
        <v>43</v>
      </c>
      <c r="X128" s="48">
        <f t="shared" si="82"/>
        <v>1.0835037154711817</v>
      </c>
    </row>
    <row r="129" spans="1:24" ht="12.75">
      <c r="A129" s="119">
        <v>116</v>
      </c>
      <c r="B129" s="8" t="s">
        <v>48</v>
      </c>
      <c r="C129" s="9"/>
      <c r="D129" s="18">
        <f>'[1]А-4'!$F$153</f>
        <v>1</v>
      </c>
      <c r="E129" s="95">
        <f>'[1]Норматив и фактически 2017'!$F$134</f>
        <v>165.121</v>
      </c>
      <c r="F129" s="112">
        <f t="shared" si="83"/>
        <v>107.66644941204528</v>
      </c>
      <c r="G129" s="70">
        <f t="shared" si="84"/>
        <v>83.36613177974667</v>
      </c>
      <c r="H129" s="70">
        <f t="shared" si="85"/>
        <v>24.300317632298622</v>
      </c>
      <c r="I129" s="26">
        <f t="shared" si="86"/>
        <v>6.1</v>
      </c>
      <c r="J129" s="26">
        <f>'[1]А-4'!G153</f>
        <v>6.1</v>
      </c>
      <c r="K129" s="26">
        <f>'[1]А-4'!H153</f>
        <v>0</v>
      </c>
      <c r="L129" s="21">
        <f>'[1]А-4'!Q153</f>
        <v>3</v>
      </c>
      <c r="M129" s="21">
        <f>'[1]А-4'!AC153</f>
        <v>0</v>
      </c>
      <c r="N129" s="21">
        <f t="shared" si="87"/>
        <v>4.9</v>
      </c>
      <c r="O129" s="21"/>
      <c r="P129" s="26">
        <f t="shared" si="80"/>
        <v>2.6</v>
      </c>
      <c r="Q129" s="26">
        <f t="shared" si="88"/>
        <v>0</v>
      </c>
      <c r="R129" s="22">
        <f t="shared" si="89"/>
        <v>216</v>
      </c>
      <c r="S129" s="22">
        <f t="shared" si="90"/>
        <v>0</v>
      </c>
      <c r="T129" s="16">
        <f t="shared" si="91"/>
        <v>216</v>
      </c>
      <c r="U129" s="24">
        <f t="shared" si="92"/>
        <v>15</v>
      </c>
      <c r="V129" s="9">
        <v>8</v>
      </c>
      <c r="W129" s="24">
        <f t="shared" si="93"/>
        <v>8</v>
      </c>
      <c r="X129" s="48">
        <f t="shared" si="82"/>
        <v>2.006195998656521</v>
      </c>
    </row>
    <row r="130" spans="1:24" ht="12.75">
      <c r="A130" s="119">
        <v>117</v>
      </c>
      <c r="B130" s="8" t="s">
        <v>49</v>
      </c>
      <c r="C130" s="9"/>
      <c r="D130" s="18">
        <f>'[1]А-4'!$F$154</f>
        <v>0</v>
      </c>
      <c r="E130" s="95">
        <f>'[1]Норматив и фактически 2017'!$F$135</f>
        <v>175.227</v>
      </c>
      <c r="F130" s="112">
        <f t="shared" si="83"/>
        <v>114.25602395288581</v>
      </c>
      <c r="G130" s="70">
        <f t="shared" si="84"/>
        <v>88.46843934671948</v>
      </c>
      <c r="H130" s="70">
        <f t="shared" si="85"/>
        <v>25.78758460616633</v>
      </c>
      <c r="I130" s="26">
        <f t="shared" si="86"/>
        <v>0</v>
      </c>
      <c r="J130" s="26">
        <f>'[1]А-4'!G154</f>
        <v>0</v>
      </c>
      <c r="K130" s="26">
        <f>'[1]А-4'!H154</f>
        <v>0</v>
      </c>
      <c r="L130" s="21">
        <f>'[1]А-4'!Q154</f>
        <v>0</v>
      </c>
      <c r="M130" s="21">
        <f>'[1]А-4'!AC154</f>
        <v>0</v>
      </c>
      <c r="N130" s="21"/>
      <c r="O130" s="21"/>
      <c r="P130" s="26">
        <f t="shared" si="80"/>
        <v>0</v>
      </c>
      <c r="Q130" s="26">
        <f t="shared" si="88"/>
        <v>0</v>
      </c>
      <c r="R130" s="22">
        <f t="shared" si="89"/>
        <v>0</v>
      </c>
      <c r="S130" s="22">
        <f t="shared" si="90"/>
        <v>0</v>
      </c>
      <c r="T130" s="16">
        <f t="shared" si="91"/>
        <v>0</v>
      </c>
      <c r="U130" s="24">
        <f t="shared" si="92"/>
        <v>0</v>
      </c>
      <c r="V130" s="9">
        <v>0</v>
      </c>
      <c r="W130" s="24">
        <f t="shared" si="93"/>
        <v>0</v>
      </c>
      <c r="X130" s="48">
        <f t="shared" si="82"/>
        <v>0</v>
      </c>
    </row>
    <row r="131" spans="1:24" ht="12.75">
      <c r="A131" s="119">
        <v>118</v>
      </c>
      <c r="B131" s="8" t="s">
        <v>50</v>
      </c>
      <c r="C131" s="9"/>
      <c r="D131" s="18">
        <f>'[1]А-4'!$F$155</f>
        <v>6</v>
      </c>
      <c r="E131" s="95">
        <f>'[1]Норматив и фактически 2017'!$F$136</f>
        <v>338.165</v>
      </c>
      <c r="F131" s="112">
        <f t="shared" si="83"/>
        <v>220.4990574513496</v>
      </c>
      <c r="G131" s="70">
        <f t="shared" si="84"/>
        <v>170.73242018457998</v>
      </c>
      <c r="H131" s="70">
        <f t="shared" si="85"/>
        <v>49.76663726676961</v>
      </c>
      <c r="I131" s="26">
        <f t="shared" si="86"/>
        <v>60</v>
      </c>
      <c r="J131" s="26">
        <f>'[1]А-4'!G155</f>
        <v>60</v>
      </c>
      <c r="K131" s="26">
        <f>'[1]А-4'!H155</f>
        <v>0</v>
      </c>
      <c r="L131" s="21">
        <f>'[1]А-4'!Q155</f>
        <v>8</v>
      </c>
      <c r="M131" s="21">
        <f>'[1]А-4'!AC155</f>
        <v>0</v>
      </c>
      <c r="N131" s="21">
        <f t="shared" si="87"/>
        <v>1.3</v>
      </c>
      <c r="O131" s="21"/>
      <c r="P131" s="26">
        <f t="shared" si="80"/>
        <v>0.7</v>
      </c>
      <c r="Q131" s="26">
        <f t="shared" si="88"/>
        <v>0</v>
      </c>
      <c r="R131" s="22">
        <f t="shared" si="89"/>
        <v>119</v>
      </c>
      <c r="S131" s="22">
        <f t="shared" si="90"/>
        <v>0</v>
      </c>
      <c r="T131" s="16">
        <f t="shared" si="91"/>
        <v>119</v>
      </c>
      <c r="U131" s="24">
        <f>ROUNDDOWN(IF(T131&lt;$O$3,"0",T131*3/100),0)</f>
        <v>3</v>
      </c>
      <c r="V131" s="9">
        <v>3</v>
      </c>
      <c r="W131" s="24">
        <f t="shared" si="93"/>
        <v>3</v>
      </c>
      <c r="X131" s="48">
        <f t="shared" si="82"/>
        <v>0.5396848466177951</v>
      </c>
    </row>
    <row r="132" spans="1:24" ht="12.75">
      <c r="A132" s="119">
        <v>119</v>
      </c>
      <c r="B132" s="8" t="s">
        <v>51</v>
      </c>
      <c r="C132" s="9"/>
      <c r="D132" s="18">
        <f>'[1]А-4'!$F$156</f>
        <v>5</v>
      </c>
      <c r="E132" s="95">
        <f>'[1]Норматив и фактически 2017'!$F$137</f>
        <v>622.984</v>
      </c>
      <c r="F132" s="112">
        <f t="shared" si="83"/>
        <v>406.21408131318015</v>
      </c>
      <c r="G132" s="70">
        <f t="shared" si="84"/>
        <v>314.5315631607954</v>
      </c>
      <c r="H132" s="70">
        <f t="shared" si="85"/>
        <v>91.68251815238476</v>
      </c>
      <c r="I132" s="26">
        <f t="shared" si="86"/>
        <v>50</v>
      </c>
      <c r="J132" s="26">
        <f>'[1]А-4'!G156</f>
        <v>50</v>
      </c>
      <c r="K132" s="26">
        <f>'[1]А-4'!H156</f>
        <v>0</v>
      </c>
      <c r="L132" s="21">
        <f>'[1]А-4'!Q156</f>
        <v>4</v>
      </c>
      <c r="M132" s="21">
        <f>'[1]А-4'!AC156</f>
        <v>0</v>
      </c>
      <c r="N132" s="21">
        <f t="shared" si="87"/>
        <v>0.8</v>
      </c>
      <c r="O132" s="21"/>
      <c r="P132" s="26">
        <f t="shared" si="80"/>
        <v>0.4</v>
      </c>
      <c r="Q132" s="26">
        <f t="shared" si="88"/>
        <v>0</v>
      </c>
      <c r="R132" s="22">
        <f t="shared" si="89"/>
        <v>125</v>
      </c>
      <c r="S132" s="22">
        <f t="shared" si="90"/>
        <v>0</v>
      </c>
      <c r="T132" s="16">
        <f t="shared" si="91"/>
        <v>125</v>
      </c>
      <c r="U132" s="24">
        <f>ROUNDDOWN(IF(T132&lt;$O$3,"0",T132*3/100),0)</f>
        <v>3</v>
      </c>
      <c r="V132" s="9">
        <v>4</v>
      </c>
      <c r="W132" s="24">
        <f t="shared" si="93"/>
        <v>3</v>
      </c>
      <c r="X132" s="48">
        <f t="shared" si="82"/>
        <v>0.3077195147837043</v>
      </c>
    </row>
    <row r="133" spans="1:24" ht="12.75">
      <c r="A133" s="119">
        <v>120</v>
      </c>
      <c r="B133" s="40" t="s">
        <v>57</v>
      </c>
      <c r="C133" s="41"/>
      <c r="D133" s="18">
        <f>'[1]А-4'!$F$157</f>
        <v>5</v>
      </c>
      <c r="E133" s="95">
        <f>'[1]Норматив и фактически 2017'!$F$138</f>
        <v>225.0354</v>
      </c>
      <c r="F133" s="112">
        <f t="shared" si="83"/>
        <v>146.73338043022616</v>
      </c>
      <c r="G133" s="70">
        <f t="shared" si="84"/>
        <v>113.61565646712411</v>
      </c>
      <c r="H133" s="70">
        <f t="shared" si="85"/>
        <v>33.117723963102044</v>
      </c>
      <c r="I133" s="26">
        <f t="shared" si="86"/>
        <v>57.2</v>
      </c>
      <c r="J133" s="26">
        <f>'[1]А-4'!G157</f>
        <v>44.1</v>
      </c>
      <c r="K133" s="26">
        <f>'[1]А-4'!H157</f>
        <v>13.100000000000001</v>
      </c>
      <c r="L133" s="21">
        <f>'[1]А-4'!Q157</f>
        <v>12</v>
      </c>
      <c r="M133" s="21">
        <f>'[1]А-4'!AC157</f>
        <v>4</v>
      </c>
      <c r="N133" s="21">
        <f t="shared" si="87"/>
        <v>2.7</v>
      </c>
      <c r="O133" s="21">
        <f>ROUND(M133/K133*10,3)</f>
        <v>3.053</v>
      </c>
      <c r="P133" s="26">
        <f t="shared" si="80"/>
        <v>1.5</v>
      </c>
      <c r="Q133" s="26">
        <f t="shared" si="88"/>
        <v>1.6</v>
      </c>
      <c r="R133" s="22">
        <f t="shared" si="89"/>
        <v>170</v>
      </c>
      <c r="S133" s="22">
        <f t="shared" si="90"/>
        <v>52</v>
      </c>
      <c r="T133" s="16">
        <f t="shared" si="91"/>
        <v>222</v>
      </c>
      <c r="U133" s="24">
        <f>ROUNDDOWN(IF(T133&lt;$O$3,"0",T133*5/100),0)</f>
        <v>11</v>
      </c>
      <c r="V133" s="9">
        <v>8</v>
      </c>
      <c r="W133" s="24">
        <f t="shared" si="93"/>
        <v>8</v>
      </c>
      <c r="X133" s="48">
        <f t="shared" si="82"/>
        <v>1.5129481740902453</v>
      </c>
    </row>
    <row r="134" spans="1:24" ht="12.75">
      <c r="A134" s="119">
        <v>121</v>
      </c>
      <c r="B134" s="185" t="s">
        <v>144</v>
      </c>
      <c r="C134" s="186"/>
      <c r="D134" s="18">
        <f>'[1]А-4'!$F$158</f>
        <v>0</v>
      </c>
      <c r="E134" s="95">
        <f>'[1]Норматив и фактически 2017'!$F$139</f>
        <v>296.717</v>
      </c>
      <c r="F134" s="112">
        <f t="shared" si="83"/>
        <v>193.47306442059966</v>
      </c>
      <c r="G134" s="70">
        <f t="shared" si="84"/>
        <v>149.8061937808703</v>
      </c>
      <c r="H134" s="70">
        <f t="shared" si="85"/>
        <v>43.666870639729346</v>
      </c>
      <c r="I134" s="26">
        <f t="shared" si="86"/>
        <v>0</v>
      </c>
      <c r="J134" s="26">
        <f>'[1]А-4'!G158</f>
        <v>0</v>
      </c>
      <c r="K134" s="26">
        <f>'[1]А-4'!H158</f>
        <v>0</v>
      </c>
      <c r="L134" s="21">
        <f>'[1]А-4'!Q158</f>
        <v>0</v>
      </c>
      <c r="M134" s="21">
        <f>'[1]А-4'!AC158</f>
        <v>0</v>
      </c>
      <c r="N134" s="21"/>
      <c r="O134" s="21"/>
      <c r="P134" s="26">
        <f t="shared" si="80"/>
        <v>0</v>
      </c>
      <c r="Q134" s="26">
        <f t="shared" si="88"/>
        <v>0</v>
      </c>
      <c r="R134" s="22">
        <f t="shared" si="89"/>
        <v>0</v>
      </c>
      <c r="S134" s="22">
        <f t="shared" si="90"/>
        <v>0</v>
      </c>
      <c r="T134" s="16">
        <f t="shared" si="91"/>
        <v>0</v>
      </c>
      <c r="U134" s="24">
        <f t="shared" si="92"/>
        <v>0</v>
      </c>
      <c r="V134" s="9"/>
      <c r="W134" s="24">
        <f t="shared" si="93"/>
        <v>0</v>
      </c>
      <c r="X134" s="48">
        <f t="shared" si="82"/>
        <v>0</v>
      </c>
    </row>
    <row r="135" spans="1:24" ht="12.75">
      <c r="A135" s="119">
        <v>122</v>
      </c>
      <c r="B135" s="90" t="s">
        <v>58</v>
      </c>
      <c r="C135" s="117"/>
      <c r="D135" s="18">
        <f>'[1]А-4'!$F$159</f>
        <v>0</v>
      </c>
      <c r="E135" s="95">
        <f>'[1]Норматив и фактически 2017'!$F$140</f>
        <v>14.267</v>
      </c>
      <c r="F135" s="112">
        <f t="shared" si="83"/>
        <v>9.302736985372242</v>
      </c>
      <c r="G135" s="70">
        <f t="shared" si="84"/>
        <v>7.203109247773726</v>
      </c>
      <c r="H135" s="70">
        <f t="shared" si="85"/>
        <v>2.099627737598515</v>
      </c>
      <c r="I135" s="26">
        <f t="shared" si="86"/>
        <v>0</v>
      </c>
      <c r="J135" s="26">
        <f>'[1]А-4'!G159</f>
        <v>0</v>
      </c>
      <c r="K135" s="26">
        <f>'[1]А-4'!H159</f>
        <v>0</v>
      </c>
      <c r="L135" s="21">
        <f>'[1]А-4'!Q159</f>
        <v>0</v>
      </c>
      <c r="M135" s="21">
        <f>'[1]А-4'!AC159</f>
        <v>0</v>
      </c>
      <c r="N135" s="21"/>
      <c r="O135" s="21"/>
      <c r="P135" s="26">
        <f t="shared" si="80"/>
        <v>0</v>
      </c>
      <c r="Q135" s="26">
        <f t="shared" si="88"/>
        <v>0</v>
      </c>
      <c r="R135" s="22">
        <f t="shared" si="89"/>
        <v>0</v>
      </c>
      <c r="S135" s="22">
        <f t="shared" si="90"/>
        <v>0</v>
      </c>
      <c r="T135" s="16">
        <f t="shared" si="91"/>
        <v>0</v>
      </c>
      <c r="U135" s="24">
        <f t="shared" si="92"/>
        <v>0</v>
      </c>
      <c r="V135" s="9">
        <v>0</v>
      </c>
      <c r="W135" s="24">
        <f t="shared" si="93"/>
        <v>0</v>
      </c>
      <c r="X135" s="48">
        <f t="shared" si="82"/>
        <v>0</v>
      </c>
    </row>
    <row r="136" spans="1:24" ht="12.75">
      <c r="A136" s="119">
        <v>123</v>
      </c>
      <c r="B136" s="42" t="s">
        <v>73</v>
      </c>
      <c r="C136" s="43"/>
      <c r="D136" s="18">
        <f>'[1]А-4'!$F$160</f>
        <v>3</v>
      </c>
      <c r="E136" s="95">
        <f>'[1]Норматив и фактически 2017'!$F$141</f>
        <v>139.5626</v>
      </c>
      <c r="F136" s="112">
        <f t="shared" si="83"/>
        <v>91.0012028313389</v>
      </c>
      <c r="G136" s="70">
        <f t="shared" si="84"/>
        <v>70.46223135230571</v>
      </c>
      <c r="H136" s="70">
        <f t="shared" si="85"/>
        <v>20.53897147903319</v>
      </c>
      <c r="I136" s="26">
        <f t="shared" si="86"/>
        <v>35.89999999999999</v>
      </c>
      <c r="J136" s="26">
        <f>'[1]А-4'!G160</f>
        <v>33.599999999999994</v>
      </c>
      <c r="K136" s="26">
        <f>'[1]А-4'!H160</f>
        <v>2.3</v>
      </c>
      <c r="L136" s="21">
        <f>'[1]А-4'!Q160</f>
        <v>10</v>
      </c>
      <c r="M136" s="21">
        <f>'[1]А-4'!AC160</f>
        <v>0</v>
      </c>
      <c r="N136" s="21">
        <f t="shared" si="87"/>
        <v>3</v>
      </c>
      <c r="O136" s="21">
        <f>ROUND(M136/K136*10,3)</f>
        <v>0</v>
      </c>
      <c r="P136" s="26">
        <f t="shared" si="80"/>
        <v>1.6</v>
      </c>
      <c r="Q136" s="26">
        <f t="shared" si="88"/>
        <v>0</v>
      </c>
      <c r="R136" s="22">
        <f t="shared" si="89"/>
        <v>112</v>
      </c>
      <c r="S136" s="22">
        <f t="shared" si="90"/>
        <v>0</v>
      </c>
      <c r="T136" s="16">
        <f t="shared" si="91"/>
        <v>112</v>
      </c>
      <c r="U136" s="24">
        <f>ROUNDDOWN(IF(T136&lt;$O$3,"0",T136*5/100),0)</f>
        <v>5</v>
      </c>
      <c r="V136" s="9">
        <v>5</v>
      </c>
      <c r="W136" s="24">
        <f t="shared" si="93"/>
        <v>5</v>
      </c>
      <c r="X136" s="48">
        <f t="shared" si="82"/>
        <v>1.2307529627666587</v>
      </c>
    </row>
    <row r="137" spans="1:24" ht="12.75">
      <c r="A137" s="119">
        <v>124</v>
      </c>
      <c r="B137" s="177" t="s">
        <v>74</v>
      </c>
      <c r="C137" s="188"/>
      <c r="D137" s="18">
        <f>'[1]А-4'!$F$161</f>
        <v>4</v>
      </c>
      <c r="E137" s="95">
        <f>'[1]Норматив и фактически 2017'!$F$142</f>
        <v>257.0065</v>
      </c>
      <c r="F137" s="112">
        <f t="shared" si="83"/>
        <v>167.5800009133715</v>
      </c>
      <c r="G137" s="70">
        <f t="shared" si="84"/>
        <v>129.75719470722353</v>
      </c>
      <c r="H137" s="70">
        <f t="shared" si="85"/>
        <v>37.822806206147945</v>
      </c>
      <c r="I137" s="26">
        <f t="shared" si="86"/>
        <v>45.94</v>
      </c>
      <c r="J137" s="26">
        <f>'[1]А-4'!G161</f>
        <v>45.94</v>
      </c>
      <c r="K137" s="26">
        <f>'[1]А-4'!H161</f>
        <v>0</v>
      </c>
      <c r="L137" s="21">
        <f>'[1]А-4'!Q161</f>
        <v>10</v>
      </c>
      <c r="M137" s="21">
        <f>'[1]А-4'!AC161</f>
        <v>0</v>
      </c>
      <c r="N137" s="21">
        <f t="shared" si="87"/>
        <v>2.2</v>
      </c>
      <c r="O137" s="21"/>
      <c r="P137" s="26">
        <f t="shared" si="80"/>
        <v>1.2</v>
      </c>
      <c r="Q137" s="26">
        <f t="shared" si="88"/>
        <v>0</v>
      </c>
      <c r="R137" s="22">
        <f t="shared" si="89"/>
        <v>155</v>
      </c>
      <c r="S137" s="22">
        <f t="shared" si="90"/>
        <v>0</v>
      </c>
      <c r="T137" s="16">
        <f t="shared" si="91"/>
        <v>155</v>
      </c>
      <c r="U137" s="24">
        <f>ROUNDDOWN(IF(T137&lt;$O$3,"0",T137*3/100),0)</f>
        <v>4</v>
      </c>
      <c r="V137" s="9">
        <v>4</v>
      </c>
      <c r="W137" s="24">
        <f t="shared" si="93"/>
        <v>4</v>
      </c>
      <c r="X137" s="48">
        <f t="shared" si="82"/>
        <v>0.9249313710179857</v>
      </c>
    </row>
    <row r="138" spans="1:24" ht="12.75">
      <c r="A138" s="119">
        <v>125</v>
      </c>
      <c r="B138" s="118"/>
      <c r="C138" s="43"/>
      <c r="D138" s="18"/>
      <c r="E138" s="95"/>
      <c r="F138" s="112"/>
      <c r="G138" s="70"/>
      <c r="H138" s="70"/>
      <c r="I138" s="26"/>
      <c r="J138" s="26"/>
      <c r="K138" s="26"/>
      <c r="L138" s="21"/>
      <c r="M138" s="21"/>
      <c r="N138" s="21"/>
      <c r="O138" s="21"/>
      <c r="P138" s="26"/>
      <c r="Q138" s="26"/>
      <c r="R138" s="22"/>
      <c r="S138" s="22"/>
      <c r="T138" s="16"/>
      <c r="U138" s="24"/>
      <c r="V138" s="9"/>
      <c r="W138" s="24"/>
      <c r="X138" s="48"/>
    </row>
    <row r="139" spans="1:24" ht="12.75">
      <c r="A139" s="119">
        <v>126</v>
      </c>
      <c r="B139" s="118"/>
      <c r="C139" s="43"/>
      <c r="D139" s="18"/>
      <c r="E139" s="95"/>
      <c r="F139" s="112"/>
      <c r="G139" s="70"/>
      <c r="H139" s="70"/>
      <c r="I139" s="26"/>
      <c r="J139" s="26"/>
      <c r="K139" s="26"/>
      <c r="L139" s="21"/>
      <c r="M139" s="21"/>
      <c r="N139" s="21"/>
      <c r="O139" s="21"/>
      <c r="P139" s="26"/>
      <c r="Q139" s="26"/>
      <c r="R139" s="22"/>
      <c r="S139" s="22"/>
      <c r="T139" s="16"/>
      <c r="U139" s="24"/>
      <c r="V139" s="9"/>
      <c r="W139" s="24"/>
      <c r="X139" s="48"/>
    </row>
    <row r="140" spans="1:24" ht="12.75">
      <c r="A140" s="119">
        <v>127</v>
      </c>
      <c r="B140" s="118"/>
      <c r="C140" s="43"/>
      <c r="D140" s="18"/>
      <c r="E140" s="95"/>
      <c r="F140" s="112"/>
      <c r="G140" s="70"/>
      <c r="H140" s="70"/>
      <c r="I140" s="26"/>
      <c r="J140" s="26"/>
      <c r="K140" s="26"/>
      <c r="L140" s="21"/>
      <c r="M140" s="21"/>
      <c r="N140" s="21"/>
      <c r="O140" s="21"/>
      <c r="P140" s="26"/>
      <c r="Q140" s="26"/>
      <c r="R140" s="22"/>
      <c r="S140" s="22"/>
      <c r="T140" s="16"/>
      <c r="U140" s="24"/>
      <c r="V140" s="9"/>
      <c r="W140" s="24"/>
      <c r="X140" s="48"/>
    </row>
    <row r="141" spans="1:25" ht="18">
      <c r="A141" s="199" t="s">
        <v>91</v>
      </c>
      <c r="B141" s="200"/>
      <c r="C141" s="201"/>
      <c r="D141" s="120">
        <f aca="true" t="shared" si="94" ref="D141:M141">SUM(D142:D143)</f>
        <v>45</v>
      </c>
      <c r="E141" s="74">
        <f t="shared" si="94"/>
        <v>1918.73</v>
      </c>
      <c r="F141" s="74">
        <f t="shared" si="94"/>
        <v>1521</v>
      </c>
      <c r="G141" s="120">
        <f t="shared" si="94"/>
        <v>1082.0394000000001</v>
      </c>
      <c r="H141" s="120">
        <f t="shared" si="94"/>
        <v>438.96060000000006</v>
      </c>
      <c r="I141" s="120">
        <f t="shared" si="94"/>
        <v>458.17999999999995</v>
      </c>
      <c r="J141" s="120">
        <f t="shared" si="94"/>
        <v>388.4</v>
      </c>
      <c r="K141" s="120">
        <f t="shared" si="94"/>
        <v>69.78</v>
      </c>
      <c r="L141" s="74">
        <f t="shared" si="94"/>
        <v>28</v>
      </c>
      <c r="M141" s="74">
        <f t="shared" si="94"/>
        <v>0</v>
      </c>
      <c r="N141" s="74">
        <f>ROUND(L141/J141*10,2)</f>
        <v>0.72</v>
      </c>
      <c r="O141" s="75">
        <f>ROUND(M141/K141*10,2)</f>
        <v>0</v>
      </c>
      <c r="P141" s="76">
        <f aca="true" t="shared" si="95" ref="P141:P148">ROUND(N141*$M$5,1)</f>
        <v>0.4</v>
      </c>
      <c r="Q141" s="75">
        <f aca="true" t="shared" si="96" ref="Q141:Q148">ROUND(O141*$M$5,2)</f>
        <v>0</v>
      </c>
      <c r="R141" s="73">
        <f aca="true" t="shared" si="97" ref="R141:W141">SUM(R142:R143)</f>
        <v>378</v>
      </c>
      <c r="S141" s="73">
        <f t="shared" si="97"/>
        <v>0</v>
      </c>
      <c r="T141" s="77">
        <f t="shared" si="97"/>
        <v>378</v>
      </c>
      <c r="U141" s="77">
        <f t="shared" si="97"/>
        <v>11</v>
      </c>
      <c r="V141" s="77">
        <f t="shared" si="97"/>
        <v>8</v>
      </c>
      <c r="W141" s="77">
        <f t="shared" si="97"/>
        <v>8</v>
      </c>
      <c r="X141" s="48">
        <f aca="true" t="shared" si="98" ref="X141:X148">T141/F141</f>
        <v>0.2485207100591716</v>
      </c>
      <c r="Y141">
        <f>1521/E141</f>
        <v>0.7927118458563738</v>
      </c>
    </row>
    <row r="142" spans="1:24" ht="12.75">
      <c r="A142" s="28">
        <v>128</v>
      </c>
      <c r="B142" s="8" t="s">
        <v>22</v>
      </c>
      <c r="C142" s="9"/>
      <c r="D142" s="18">
        <f>'[1]А-4'!$F$170</f>
        <v>39</v>
      </c>
      <c r="E142" s="17">
        <f>'[1]Норматив и фактически 2017'!$F$147</f>
        <v>1679</v>
      </c>
      <c r="F142" s="114">
        <f>E142*$Y$141</f>
        <v>1330.9631891928516</v>
      </c>
      <c r="G142" s="70">
        <f>F142*0.7114</f>
        <v>946.8472127917946</v>
      </c>
      <c r="H142" s="70">
        <f>F142*0.2886</f>
        <v>384.115976401057</v>
      </c>
      <c r="I142" s="26">
        <f>J142+K142</f>
        <v>389.97999999999996</v>
      </c>
      <c r="J142" s="26">
        <f>'[1]А-4'!G170</f>
        <v>353.79999999999995</v>
      </c>
      <c r="K142" s="26">
        <f>'[1]А-4'!$H$170</f>
        <v>36.18</v>
      </c>
      <c r="L142" s="21">
        <f>'[1]А-4'!Q170</f>
        <v>28</v>
      </c>
      <c r="M142" s="21">
        <f>'[1]А-4'!AC170</f>
        <v>0</v>
      </c>
      <c r="N142" s="21">
        <f>L142*10/J142</f>
        <v>0.7914075749010742</v>
      </c>
      <c r="O142" s="21">
        <f>ROUND(M142/K142*10,3)</f>
        <v>0</v>
      </c>
      <c r="P142" s="26">
        <f t="shared" si="95"/>
        <v>0.4</v>
      </c>
      <c r="Q142" s="21">
        <f t="shared" si="96"/>
        <v>0</v>
      </c>
      <c r="R142" s="22">
        <f>ROUNDDOWN((P142*G142),0)</f>
        <v>378</v>
      </c>
      <c r="S142" s="22">
        <f>ROUNDDOWN((Q142*H142),0)</f>
        <v>0</v>
      </c>
      <c r="T142" s="16">
        <f>R142+S142</f>
        <v>378</v>
      </c>
      <c r="U142" s="24">
        <f>ROUNDDOWN(IF(T142&lt;$O$3,"0",T142*3/100),0)</f>
        <v>11</v>
      </c>
      <c r="V142" s="9">
        <v>8</v>
      </c>
      <c r="W142" s="24">
        <f>IF(V142&lt;=U142,V142,U142)</f>
        <v>8</v>
      </c>
      <c r="X142" s="48">
        <f t="shared" si="98"/>
        <v>0.2840048493221169</v>
      </c>
    </row>
    <row r="143" spans="1:24" ht="12.75">
      <c r="A143" s="28">
        <v>129</v>
      </c>
      <c r="B143" s="8" t="s">
        <v>29</v>
      </c>
      <c r="C143" s="8"/>
      <c r="D143" s="18">
        <f>'[1]А-4'!$F$171</f>
        <v>6</v>
      </c>
      <c r="E143" s="17">
        <f>'[1]Норматив и фактически 2017'!$F$148</f>
        <v>239.73</v>
      </c>
      <c r="F143" s="114">
        <f>E143*$Y$141</f>
        <v>190.03681080714847</v>
      </c>
      <c r="G143" s="70">
        <f>F143*0.7114</f>
        <v>135.19218720820544</v>
      </c>
      <c r="H143" s="70">
        <f>F143*0.2886</f>
        <v>54.84462359894305</v>
      </c>
      <c r="I143" s="26">
        <f>J143+K143</f>
        <v>68.19999999999999</v>
      </c>
      <c r="J143" s="26">
        <f>'[1]А-4'!G171</f>
        <v>34.6</v>
      </c>
      <c r="K143" s="26">
        <f>'[1]А-4'!$H$171</f>
        <v>33.599999999999994</v>
      </c>
      <c r="L143" s="21">
        <f>'[1]А-4'!Q171</f>
        <v>0</v>
      </c>
      <c r="M143" s="21">
        <f>'[1]А-4'!AC171</f>
        <v>0</v>
      </c>
      <c r="N143" s="21">
        <f>L143*10/J143</f>
        <v>0</v>
      </c>
      <c r="O143" s="21">
        <f>ROUND(M143/K143*10,3)</f>
        <v>0</v>
      </c>
      <c r="P143" s="26">
        <f t="shared" si="95"/>
        <v>0</v>
      </c>
      <c r="Q143" s="21">
        <f t="shared" si="96"/>
        <v>0</v>
      </c>
      <c r="R143" s="22">
        <f>ROUNDDOWN((P143*G143),0)</f>
        <v>0</v>
      </c>
      <c r="S143" s="22">
        <f>ROUNDDOWN((Q143*H143),0)</f>
        <v>0</v>
      </c>
      <c r="T143" s="16">
        <f>R143+S143</f>
        <v>0</v>
      </c>
      <c r="U143" s="24">
        <f>ROUNDDOWN(IF(T143&lt;$O$3,"0",T143*3/100),0)</f>
        <v>0</v>
      </c>
      <c r="V143" s="9"/>
      <c r="W143" s="24">
        <f>IF(V143&lt;=U143,V143,U143)</f>
        <v>0</v>
      </c>
      <c r="X143" s="48">
        <f t="shared" si="98"/>
        <v>0</v>
      </c>
    </row>
    <row r="144" spans="1:37" ht="18">
      <c r="A144" s="199" t="s">
        <v>92</v>
      </c>
      <c r="B144" s="200"/>
      <c r="C144" s="201"/>
      <c r="D144" s="120">
        <f aca="true" t="shared" si="99" ref="D144:M144">SUM(D145:D147)</f>
        <v>58</v>
      </c>
      <c r="E144" s="74">
        <f t="shared" si="99"/>
        <v>2906.8070000000002</v>
      </c>
      <c r="F144" s="74">
        <f t="shared" si="99"/>
        <v>1713.9999999999998</v>
      </c>
      <c r="G144" s="120">
        <f t="shared" si="99"/>
        <v>1329.0356</v>
      </c>
      <c r="H144" s="120">
        <f t="shared" si="99"/>
        <v>384.96439999999996</v>
      </c>
      <c r="I144" s="120">
        <f t="shared" si="99"/>
        <v>1117.22</v>
      </c>
      <c r="J144" s="120">
        <f t="shared" si="99"/>
        <v>539.86</v>
      </c>
      <c r="K144" s="120">
        <f t="shared" si="99"/>
        <v>577.3599999999999</v>
      </c>
      <c r="L144" s="74">
        <f t="shared" si="99"/>
        <v>114</v>
      </c>
      <c r="M144" s="74">
        <f t="shared" si="99"/>
        <v>2</v>
      </c>
      <c r="N144" s="74">
        <f>ROUND(L144/J144*10,2)</f>
        <v>2.11</v>
      </c>
      <c r="O144" s="75">
        <f>ROUND(M144/K144*10,2)</f>
        <v>0.03</v>
      </c>
      <c r="P144" s="76">
        <f t="shared" si="95"/>
        <v>1.1</v>
      </c>
      <c r="Q144" s="75">
        <f t="shared" si="96"/>
        <v>0.02</v>
      </c>
      <c r="R144" s="73">
        <f>SUM(R145:R147)</f>
        <v>1819</v>
      </c>
      <c r="S144" s="73">
        <f>SUM(S145:S147)</f>
        <v>7</v>
      </c>
      <c r="T144" s="77">
        <f>SUM(T145:T147)</f>
        <v>1826</v>
      </c>
      <c r="U144" s="77">
        <f>SUM(U145:U147)</f>
        <v>93</v>
      </c>
      <c r="V144" s="77">
        <f>SUM(V145:V146)</f>
        <v>12</v>
      </c>
      <c r="W144" s="77">
        <f>SUM(W145:W146)</f>
        <v>12</v>
      </c>
      <c r="X144" s="48">
        <f t="shared" si="98"/>
        <v>1.0653442240373396</v>
      </c>
      <c r="Y144">
        <f>1714/E144</f>
        <v>0.5896504308679592</v>
      </c>
      <c r="AB144">
        <v>1580</v>
      </c>
      <c r="AD144" s="20">
        <f>AB144-T144</f>
        <v>-246</v>
      </c>
      <c r="AK144">
        <f>2956-R144</f>
        <v>1137</v>
      </c>
    </row>
    <row r="145" spans="1:24" ht="12.75">
      <c r="A145" s="28">
        <v>130</v>
      </c>
      <c r="B145" s="8" t="s">
        <v>23</v>
      </c>
      <c r="C145" s="9"/>
      <c r="D145" s="18">
        <f>'[1]А-4'!$F$175</f>
        <v>44</v>
      </c>
      <c r="E145" s="17">
        <f>'[1]Норматив и фактически 2017'!$F$151</f>
        <v>2316</v>
      </c>
      <c r="F145" s="114">
        <f>E145*$Y$144</f>
        <v>1365.6303978901935</v>
      </c>
      <c r="G145" s="70">
        <f>F145*0.7754</f>
        <v>1058.909810524056</v>
      </c>
      <c r="H145" s="70">
        <f>F145*0.2246</f>
        <v>306.72058736613747</v>
      </c>
      <c r="I145" s="26">
        <f>J145+K145</f>
        <v>882.52</v>
      </c>
      <c r="J145" s="26">
        <f>'[1]А-4'!G175</f>
        <v>441.26</v>
      </c>
      <c r="K145" s="26">
        <f>'[1]А-4'!$J$175</f>
        <v>441.26</v>
      </c>
      <c r="L145" s="21">
        <f>'[1]А-4'!Q175</f>
        <v>64</v>
      </c>
      <c r="M145" s="21">
        <f>'[1]А-4'!AC175</f>
        <v>0</v>
      </c>
      <c r="N145" s="21">
        <f>L145*10/J145</f>
        <v>1.4503920591034765</v>
      </c>
      <c r="O145" s="21">
        <f>ROUND(M145/K145*10,3)</f>
        <v>0</v>
      </c>
      <c r="P145" s="26">
        <f t="shared" si="95"/>
        <v>0.8</v>
      </c>
      <c r="Q145" s="21">
        <f t="shared" si="96"/>
        <v>0</v>
      </c>
      <c r="R145" s="22">
        <f aca="true" t="shared" si="100" ref="R145:S147">ROUNDDOWN((P145*G145),0)</f>
        <v>847</v>
      </c>
      <c r="S145" s="22">
        <f t="shared" si="100"/>
        <v>0</v>
      </c>
      <c r="T145" s="16">
        <f>R145+S145</f>
        <v>847</v>
      </c>
      <c r="U145" s="24">
        <f>ROUNDDOWN(IF(T145&lt;$O$3,"0",T145*3/100),0)</f>
        <v>25</v>
      </c>
      <c r="V145" s="9">
        <v>11</v>
      </c>
      <c r="W145" s="24">
        <f>IF(V145&lt;=U145,V145,U145)</f>
        <v>11</v>
      </c>
      <c r="X145" s="48">
        <f t="shared" si="98"/>
        <v>0.6202263813902777</v>
      </c>
    </row>
    <row r="146" spans="1:24" ht="12.75">
      <c r="A146" s="28">
        <v>131</v>
      </c>
      <c r="B146" s="8" t="s">
        <v>39</v>
      </c>
      <c r="C146" s="9"/>
      <c r="D146" s="18">
        <f>'[1]А-4'!$F$176</f>
        <v>11</v>
      </c>
      <c r="E146" s="17">
        <f>'[1]Норматив и фактически 2017'!$F$152</f>
        <v>529.2654</v>
      </c>
      <c r="F146" s="114">
        <f>E146*$Y$144</f>
        <v>312.08157115350275</v>
      </c>
      <c r="G146" s="70">
        <f>F146*0.7754</f>
        <v>241.98805027242602</v>
      </c>
      <c r="H146" s="70">
        <f>F146*0.2246</f>
        <v>70.09352088107671</v>
      </c>
      <c r="I146" s="26">
        <f>J146+K146</f>
        <v>169.20000000000002</v>
      </c>
      <c r="J146" s="26">
        <f>'[1]А-4'!G176</f>
        <v>66.9</v>
      </c>
      <c r="K146" s="26">
        <f>'[1]А-4'!$J$176</f>
        <v>102.30000000000001</v>
      </c>
      <c r="L146" s="21">
        <f>'[1]А-4'!Q176</f>
        <v>49</v>
      </c>
      <c r="M146" s="21">
        <f>'[1]А-4'!AC176</f>
        <v>2</v>
      </c>
      <c r="N146" s="21">
        <f>L146*10/J146</f>
        <v>7.324364723467862</v>
      </c>
      <c r="O146" s="21">
        <f>ROUND(M146/K146*10,3)</f>
        <v>0.196</v>
      </c>
      <c r="P146" s="26">
        <f t="shared" si="95"/>
        <v>4</v>
      </c>
      <c r="Q146" s="21">
        <f t="shared" si="96"/>
        <v>0.11</v>
      </c>
      <c r="R146" s="22">
        <f t="shared" si="100"/>
        <v>967</v>
      </c>
      <c r="S146" s="22">
        <f t="shared" si="100"/>
        <v>7</v>
      </c>
      <c r="T146" s="16">
        <f>R146+S146</f>
        <v>974</v>
      </c>
      <c r="U146" s="24">
        <f>ROUNDDOWN(IF(T146&lt;$O$3,"0",T146*7/100),0)</f>
        <v>68</v>
      </c>
      <c r="V146" s="9">
        <v>1</v>
      </c>
      <c r="W146" s="24">
        <f>IF(V146&lt;=U146,V146,U146)</f>
        <v>1</v>
      </c>
      <c r="X146" s="48">
        <f t="shared" si="98"/>
        <v>3.120978904329218</v>
      </c>
    </row>
    <row r="147" spans="1:24" ht="12.75">
      <c r="A147" s="28">
        <v>132</v>
      </c>
      <c r="B147" s="40" t="s">
        <v>106</v>
      </c>
      <c r="C147" s="41"/>
      <c r="D147" s="18">
        <f>'[1]А-4'!$F$177</f>
        <v>3</v>
      </c>
      <c r="E147" s="17">
        <f>'[1]Норматив и фактически 2017'!$F$153</f>
        <v>61.5416</v>
      </c>
      <c r="F147" s="114">
        <f>E147*$Y$144</f>
        <v>36.2880309563036</v>
      </c>
      <c r="G147" s="70">
        <f>F147*0.7754</f>
        <v>28.13773920351781</v>
      </c>
      <c r="H147" s="70">
        <f>F147*0.2246</f>
        <v>8.150291752785789</v>
      </c>
      <c r="I147" s="26">
        <f>J147+K147</f>
        <v>65.5</v>
      </c>
      <c r="J147" s="26">
        <f>'[1]А-4'!G177</f>
        <v>31.7</v>
      </c>
      <c r="K147" s="26">
        <f>'[1]А-4'!$J$177</f>
        <v>33.8</v>
      </c>
      <c r="L147" s="21">
        <f>'[1]А-4'!Q177</f>
        <v>1</v>
      </c>
      <c r="M147" s="21">
        <f>'[1]А-4'!AC177</f>
        <v>0</v>
      </c>
      <c r="N147" s="21">
        <f>L147*10/J147</f>
        <v>0.31545741324921134</v>
      </c>
      <c r="O147" s="21">
        <f>ROUND(M147/K147*10,3)</f>
        <v>0</v>
      </c>
      <c r="P147" s="26">
        <f t="shared" si="95"/>
        <v>0.2</v>
      </c>
      <c r="Q147" s="21">
        <f t="shared" si="96"/>
        <v>0</v>
      </c>
      <c r="R147" s="22">
        <f t="shared" si="100"/>
        <v>5</v>
      </c>
      <c r="S147" s="22">
        <f t="shared" si="100"/>
        <v>0</v>
      </c>
      <c r="T147" s="16">
        <f>R147+S147</f>
        <v>5</v>
      </c>
      <c r="U147" s="24">
        <f>ROUNDDOWN(IF(T147&lt;$O$3,"0",T147*3/100),0)</f>
        <v>0</v>
      </c>
      <c r="V147" s="9"/>
      <c r="W147" s="24">
        <f>IF(V147&lt;=U147,V147,U147)</f>
        <v>0</v>
      </c>
      <c r="X147" s="48">
        <f t="shared" si="98"/>
        <v>0.1377864785780406</v>
      </c>
    </row>
    <row r="148" spans="1:24" ht="39.75" customHeight="1">
      <c r="A148" s="9"/>
      <c r="B148" s="183" t="s">
        <v>24</v>
      </c>
      <c r="C148" s="184"/>
      <c r="D148" s="32">
        <f aca="true" t="shared" si="101" ref="D148:O148">D144+D141+D125+D113+D89+D71+D54+D10+D7</f>
        <v>494</v>
      </c>
      <c r="E148" s="100">
        <f t="shared" si="101"/>
        <v>45222.825</v>
      </c>
      <c r="F148" s="116">
        <f t="shared" si="101"/>
        <v>32304.39592055482</v>
      </c>
      <c r="G148" s="72">
        <f t="shared" si="101"/>
        <v>18584.012062303926</v>
      </c>
      <c r="H148" s="72">
        <f t="shared" si="101"/>
        <v>13720.383858250892</v>
      </c>
      <c r="I148" s="72">
        <f t="shared" si="101"/>
        <v>5887.49</v>
      </c>
      <c r="J148" s="72">
        <f t="shared" si="101"/>
        <v>4168.77</v>
      </c>
      <c r="K148" s="72">
        <f t="shared" si="101"/>
        <v>1718.7199999999998</v>
      </c>
      <c r="L148" s="72">
        <f t="shared" si="101"/>
        <v>794</v>
      </c>
      <c r="M148" s="72">
        <f t="shared" si="101"/>
        <v>168</v>
      </c>
      <c r="N148" s="72">
        <f t="shared" si="101"/>
        <v>15.71</v>
      </c>
      <c r="O148" s="72">
        <f t="shared" si="101"/>
        <v>8.696000000000002</v>
      </c>
      <c r="P148" s="85">
        <f t="shared" si="95"/>
        <v>8.5</v>
      </c>
      <c r="Q148" s="86">
        <f t="shared" si="96"/>
        <v>4.7</v>
      </c>
      <c r="R148" s="72">
        <f aca="true" t="shared" si="102" ref="R148:W148">R144+R141+R125+R113+R89+R71+R54+R10+R7</f>
        <v>19309</v>
      </c>
      <c r="S148" s="72">
        <f t="shared" si="102"/>
        <v>5469</v>
      </c>
      <c r="T148" s="32">
        <f t="shared" si="102"/>
        <v>24778</v>
      </c>
      <c r="U148" s="32">
        <f t="shared" si="102"/>
        <v>1237</v>
      </c>
      <c r="V148" s="32">
        <f t="shared" si="102"/>
        <v>363</v>
      </c>
      <c r="W148" s="32">
        <f t="shared" si="102"/>
        <v>667</v>
      </c>
      <c r="X148" s="48">
        <f t="shared" si="98"/>
        <v>0.767016354707135</v>
      </c>
    </row>
  </sheetData>
  <sheetProtection password="CC47" sheet="1"/>
  <mergeCells count="50">
    <mergeCell ref="C1:W1"/>
    <mergeCell ref="O5:P5"/>
    <mergeCell ref="B7:C7"/>
    <mergeCell ref="B13:C13"/>
    <mergeCell ref="L3:M3"/>
    <mergeCell ref="B148:C148"/>
    <mergeCell ref="B6:C6"/>
    <mergeCell ref="B137:C137"/>
    <mergeCell ref="A141:C141"/>
    <mergeCell ref="A144:C144"/>
    <mergeCell ref="B23:C23"/>
    <mergeCell ref="B24:C24"/>
    <mergeCell ref="B10:C10"/>
    <mergeCell ref="B17:C17"/>
    <mergeCell ref="B48:C48"/>
    <mergeCell ref="B63:C63"/>
    <mergeCell ref="B47:C47"/>
    <mergeCell ref="B11:C11"/>
    <mergeCell ref="B83:C83"/>
    <mergeCell ref="B12:C12"/>
    <mergeCell ref="B54:C54"/>
    <mergeCell ref="B71:C71"/>
    <mergeCell ref="B28:C28"/>
    <mergeCell ref="B46:C46"/>
    <mergeCell ref="B62:C62"/>
    <mergeCell ref="B112:C112"/>
    <mergeCell ref="B103:C103"/>
    <mergeCell ref="A113:C113"/>
    <mergeCell ref="B106:C106"/>
    <mergeCell ref="B108:C108"/>
    <mergeCell ref="B109:C109"/>
    <mergeCell ref="B110:C110"/>
    <mergeCell ref="B111:C111"/>
    <mergeCell ref="B134:C134"/>
    <mergeCell ref="B123:C123"/>
    <mergeCell ref="B124:C124"/>
    <mergeCell ref="B121:C121"/>
    <mergeCell ref="B122:C122"/>
    <mergeCell ref="B128:C128"/>
    <mergeCell ref="A125:C125"/>
    <mergeCell ref="B119:C119"/>
    <mergeCell ref="B76:C76"/>
    <mergeCell ref="B81:C81"/>
    <mergeCell ref="B86:C86"/>
    <mergeCell ref="B104:C104"/>
    <mergeCell ref="B105:C105"/>
    <mergeCell ref="B91:C91"/>
    <mergeCell ref="B88:C88"/>
    <mergeCell ref="B87:C87"/>
    <mergeCell ref="A89:C89"/>
  </mergeCells>
  <printOptions/>
  <pageMargins left="0.1968503937007874" right="0" top="0.03937007874015748" bottom="0" header="0" footer="0"/>
  <pageSetup horizontalDpi="600" verticalDpi="600" orientation="landscape" paperSize="9" scale="65" r:id="rId1"/>
  <rowBreaks count="2" manualBreakCount="2">
    <brk id="108" max="22" man="1"/>
    <brk id="14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 Жога</dc:creator>
  <cp:keywords/>
  <dc:description/>
  <cp:lastModifiedBy>Admin</cp:lastModifiedBy>
  <cp:lastPrinted>2017-04-19T04:50:56Z</cp:lastPrinted>
  <dcterms:created xsi:type="dcterms:W3CDTF">2011-07-28T21:50:29Z</dcterms:created>
  <dcterms:modified xsi:type="dcterms:W3CDTF">2017-05-01T23:43:30Z</dcterms:modified>
  <cp:category/>
  <cp:version/>
  <cp:contentType/>
  <cp:contentStatus/>
</cp:coreProperties>
</file>